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471cfec7daec0c4/Desktop/IMPLEMENTATION/DELIVERABLES/TOOLS/downloads/"/>
    </mc:Choice>
  </mc:AlternateContent>
  <xr:revisionPtr revIDLastSave="0" documentId="8_{3B251862-595E-4BA2-A369-462820F3FFC1}" xr6:coauthVersionLast="47" xr6:coauthVersionMax="47" xr10:uidLastSave="{00000000-0000-0000-0000-000000000000}"/>
  <bookViews>
    <workbookView xWindow="-120" yWindow="-120" windowWidth="29040" windowHeight="15720" tabRatio="838" xr2:uid="{00000000-000D-0000-FFFF-FFFF00000000}"/>
  </bookViews>
  <sheets>
    <sheet name="Navigation" sheetId="1" r:id="rId1"/>
    <sheet name="Client Info" sheetId="2" r:id="rId2"/>
    <sheet name="Instructions" sheetId="3" r:id="rId3"/>
    <sheet name="Document Checklist" sheetId="4" r:id="rId4"/>
    <sheet name="Expense Report" sheetId="5" r:id="rId5"/>
    <sheet name="Home Office" sheetId="6" r:id="rId6"/>
    <sheet name="Vehicle Mileage" sheetId="7" r:id="rId7"/>
    <sheet name="Equipment" sheetId="8" r:id="rId8"/>
    <sheet name="Schedule E" sheetId="9" r:id="rId9"/>
    <sheet name="Crypto Tracker" sheetId="10" r:id="rId10"/>
    <sheet name="Timing &amp; Loss Harvest" sheetId="11" r:id="rId11"/>
    <sheet name="Health &amp; HSA" sheetId="12" r:id="rId12"/>
    <sheet name="14-Day Rental" sheetId="13" r:id="rId13"/>
    <sheet name="Family Employment" sheetId="14" r:id="rId14"/>
    <sheet name="Family Co &amp; Advisors" sheetId="15" r:id="rId15"/>
    <sheet name="Retirement Contributions" sheetId="16" r:id="rId16"/>
    <sheet name="Estimated Taxes" sheetId="17" r:id="rId17"/>
    <sheet name="Annual Summary" sheetId="18" r:id="rId1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8" l="1"/>
  <c r="I33" i="8"/>
  <c r="I32" i="8"/>
  <c r="I31" i="8"/>
  <c r="I30" i="8"/>
  <c r="I29" i="8"/>
  <c r="I28" i="8"/>
  <c r="I27" i="8"/>
  <c r="I26" i="8"/>
  <c r="I25" i="8"/>
  <c r="I24" i="8"/>
  <c r="I23" i="8"/>
  <c r="H34" i="8"/>
  <c r="H33" i="8"/>
  <c r="H32" i="8"/>
  <c r="H31" i="8"/>
  <c r="H30" i="8"/>
  <c r="H29" i="8"/>
  <c r="H28" i="8"/>
  <c r="H27" i="8"/>
  <c r="H26" i="8"/>
  <c r="H25" i="8"/>
  <c r="H24" i="8"/>
  <c r="H23" i="8"/>
  <c r="J28" i="8"/>
  <c r="J26" i="8"/>
  <c r="J32" i="8"/>
  <c r="J31" i="8"/>
  <c r="B96" i="6"/>
  <c r="F57" i="18"/>
  <c r="F20" i="16"/>
  <c r="F25" i="16"/>
  <c r="B74" i="12"/>
  <c r="E66" i="5"/>
  <c r="E65" i="5"/>
  <c r="E64" i="5"/>
  <c r="E63" i="5"/>
  <c r="E62" i="5"/>
  <c r="E61" i="5"/>
  <c r="E60" i="5"/>
  <c r="E59" i="5"/>
  <c r="E58" i="5"/>
  <c r="E57" i="5"/>
  <c r="E56" i="5"/>
  <c r="E55" i="5"/>
  <c r="B66" i="5"/>
  <c r="B65" i="5"/>
  <c r="B64" i="5"/>
  <c r="B63" i="5"/>
  <c r="B62" i="5"/>
  <c r="B61" i="5"/>
  <c r="B60" i="5"/>
  <c r="B59" i="5"/>
  <c r="B58" i="5"/>
  <c r="B57" i="5"/>
  <c r="B56" i="5"/>
  <c r="B55" i="5"/>
  <c r="E52" i="5"/>
  <c r="G26" i="16"/>
  <c r="G25" i="16"/>
  <c r="G24" i="16"/>
  <c r="G23" i="16"/>
  <c r="G22" i="16"/>
  <c r="G21" i="16"/>
  <c r="G20" i="16"/>
  <c r="G19" i="16"/>
  <c r="G18" i="16"/>
  <c r="G17" i="16"/>
  <c r="G16" i="16"/>
  <c r="E26" i="16"/>
  <c r="E25" i="16"/>
  <c r="E24" i="16"/>
  <c r="E23" i="16"/>
  <c r="E22" i="16"/>
  <c r="E21" i="16"/>
  <c r="E20" i="16"/>
  <c r="E19" i="16"/>
  <c r="E18" i="16"/>
  <c r="E17" i="16"/>
  <c r="E16" i="16"/>
  <c r="B46" i="18"/>
  <c r="B27" i="18"/>
  <c r="B25" i="18"/>
  <c r="C28" i="17" s="1"/>
  <c r="C5" i="18"/>
  <c r="C4" i="18"/>
  <c r="C103" i="17"/>
  <c r="C92" i="17"/>
  <c r="C86" i="17"/>
  <c r="C76" i="17"/>
  <c r="C75" i="17"/>
  <c r="D48" i="17"/>
  <c r="C38" i="17"/>
  <c r="C48" i="17" s="1"/>
  <c r="C26" i="17"/>
  <c r="F8" i="17"/>
  <c r="D67" i="15"/>
  <c r="B67" i="15"/>
  <c r="E54" i="15"/>
  <c r="B20" i="18" s="1"/>
  <c r="F53" i="15"/>
  <c r="H53" i="15" s="1"/>
  <c r="F52" i="15"/>
  <c r="H52" i="15" s="1"/>
  <c r="F51" i="15"/>
  <c r="H51" i="15" s="1"/>
  <c r="H50" i="15"/>
  <c r="F50" i="15"/>
  <c r="F49" i="15"/>
  <c r="H49" i="15" s="1"/>
  <c r="F48" i="15"/>
  <c r="F54" i="15" s="1"/>
  <c r="C37" i="15"/>
  <c r="E36" i="15"/>
  <c r="E35" i="15"/>
  <c r="E34" i="15"/>
  <c r="E33" i="15"/>
  <c r="E32" i="15"/>
  <c r="E31" i="15"/>
  <c r="E30" i="15"/>
  <c r="E37" i="15" s="1"/>
  <c r="E29" i="15"/>
  <c r="E28" i="15"/>
  <c r="E27" i="15"/>
  <c r="E26" i="15"/>
  <c r="E25" i="15"/>
  <c r="C21" i="15"/>
  <c r="B63" i="14"/>
  <c r="E58" i="14"/>
  <c r="H56" i="14"/>
  <c r="H55" i="14"/>
  <c r="H54" i="14"/>
  <c r="H53" i="14"/>
  <c r="H52" i="14"/>
  <c r="H51" i="14"/>
  <c r="H50" i="14"/>
  <c r="H49" i="14"/>
  <c r="H48" i="14"/>
  <c r="H47" i="14"/>
  <c r="H58" i="14" s="1"/>
  <c r="B64" i="14" s="1"/>
  <c r="H46" i="14"/>
  <c r="H45" i="14"/>
  <c r="H44" i="14"/>
  <c r="H43" i="14"/>
  <c r="H42" i="14"/>
  <c r="E46" i="13"/>
  <c r="E45" i="13"/>
  <c r="F43" i="13"/>
  <c r="E43" i="13"/>
  <c r="F42" i="13"/>
  <c r="E42" i="13"/>
  <c r="F41" i="13"/>
  <c r="E41" i="13"/>
  <c r="F40" i="13"/>
  <c r="E40" i="13"/>
  <c r="F39" i="13"/>
  <c r="E39" i="13"/>
  <c r="F38" i="13"/>
  <c r="E38" i="13"/>
  <c r="F37" i="13"/>
  <c r="E37" i="13"/>
  <c r="F36" i="13"/>
  <c r="E36" i="13"/>
  <c r="F35" i="13"/>
  <c r="E35" i="13"/>
  <c r="F34" i="13"/>
  <c r="E34" i="13"/>
  <c r="F33" i="13"/>
  <c r="E33" i="13"/>
  <c r="F32" i="13"/>
  <c r="E32" i="13"/>
  <c r="F31" i="13"/>
  <c r="F48" i="13" s="1"/>
  <c r="E31" i="13"/>
  <c r="F30" i="13"/>
  <c r="E30" i="13"/>
  <c r="E11" i="13"/>
  <c r="B11" i="13"/>
  <c r="B71" i="12"/>
  <c r="B40" i="12"/>
  <c r="B43" i="12" s="1"/>
  <c r="B14" i="12"/>
  <c r="B70" i="12" s="1"/>
  <c r="D62" i="11"/>
  <c r="G54" i="11"/>
  <c r="F54" i="11"/>
  <c r="G53" i="11"/>
  <c r="F53" i="11"/>
  <c r="D58" i="11" s="1"/>
  <c r="D61" i="11" s="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D57" i="11" s="1"/>
  <c r="F40" i="11"/>
  <c r="D59" i="11" s="1"/>
  <c r="D34" i="11"/>
  <c r="H33" i="11"/>
  <c r="H32" i="11"/>
  <c r="H31" i="11"/>
  <c r="H30" i="11"/>
  <c r="H29" i="11"/>
  <c r="H34" i="11" s="1"/>
  <c r="D69" i="11" s="1"/>
  <c r="H28" i="11"/>
  <c r="H27" i="11"/>
  <c r="H26" i="11"/>
  <c r="D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19" i="11" s="1"/>
  <c r="D68" i="11" s="1"/>
  <c r="E72" i="10"/>
  <c r="F65" i="10"/>
  <c r="E73" i="10" s="1"/>
  <c r="J64" i="10"/>
  <c r="G64" i="10"/>
  <c r="J63" i="10"/>
  <c r="G63" i="10"/>
  <c r="J62" i="10"/>
  <c r="G62" i="10"/>
  <c r="J61" i="10"/>
  <c r="G61" i="10"/>
  <c r="G66" i="10" s="1"/>
  <c r="E74" i="10" s="1"/>
  <c r="J60" i="10"/>
  <c r="G60" i="10"/>
  <c r="J59" i="10"/>
  <c r="G59" i="10"/>
  <c r="J54" i="10"/>
  <c r="I53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52" i="10" s="1"/>
  <c r="E30" i="10"/>
  <c r="E29" i="10"/>
  <c r="H26" i="10"/>
  <c r="J26" i="10" s="1"/>
  <c r="G26" i="10"/>
  <c r="H25" i="10"/>
  <c r="J25" i="10" s="1"/>
  <c r="G25" i="10"/>
  <c r="E31" i="10" s="1"/>
  <c r="E71" i="10" s="1"/>
  <c r="H24" i="10"/>
  <c r="J24" i="10" s="1"/>
  <c r="G24" i="10"/>
  <c r="H23" i="10"/>
  <c r="J23" i="10" s="1"/>
  <c r="G23" i="10"/>
  <c r="J22" i="10"/>
  <c r="H22" i="10"/>
  <c r="G22" i="10"/>
  <c r="H21" i="10"/>
  <c r="J21" i="10" s="1"/>
  <c r="G21" i="10"/>
  <c r="H20" i="10"/>
  <c r="J20" i="10" s="1"/>
  <c r="G20" i="10"/>
  <c r="H19" i="10"/>
  <c r="J19" i="10" s="1"/>
  <c r="G19" i="10"/>
  <c r="H18" i="10"/>
  <c r="J18" i="10" s="1"/>
  <c r="G18" i="10"/>
  <c r="H17" i="10"/>
  <c r="J17" i="10" s="1"/>
  <c r="G17" i="10"/>
  <c r="J16" i="10"/>
  <c r="H16" i="10"/>
  <c r="G16" i="10"/>
  <c r="H15" i="10"/>
  <c r="J15" i="10" s="1"/>
  <c r="G15" i="10"/>
  <c r="J14" i="10"/>
  <c r="H14" i="10"/>
  <c r="E34" i="10" s="1"/>
  <c r="G14" i="10"/>
  <c r="J13" i="10"/>
  <c r="H13" i="10"/>
  <c r="G13" i="10"/>
  <c r="J12" i="10"/>
  <c r="H12" i="10"/>
  <c r="G12" i="10"/>
  <c r="H11" i="10"/>
  <c r="J11" i="10" s="1"/>
  <c r="G11" i="10"/>
  <c r="H10" i="10"/>
  <c r="J10" i="10" s="1"/>
  <c r="G10" i="10"/>
  <c r="H9" i="10"/>
  <c r="J9" i="10" s="1"/>
  <c r="G9" i="10"/>
  <c r="H8" i="10"/>
  <c r="J8" i="10" s="1"/>
  <c r="G8" i="10"/>
  <c r="H7" i="10"/>
  <c r="E35" i="10" s="1"/>
  <c r="G7" i="10"/>
  <c r="D69" i="9"/>
  <c r="E63" i="9"/>
  <c r="E62" i="9"/>
  <c r="D62" i="9"/>
  <c r="D63" i="9" s="1"/>
  <c r="C62" i="9"/>
  <c r="C63" i="9" s="1"/>
  <c r="B62" i="9"/>
  <c r="B63" i="9" s="1"/>
  <c r="E61" i="9"/>
  <c r="D61" i="9"/>
  <c r="C61" i="9"/>
  <c r="B61" i="9"/>
  <c r="C51" i="9"/>
  <c r="B51" i="9"/>
  <c r="E46" i="9"/>
  <c r="D46" i="9"/>
  <c r="C46" i="9"/>
  <c r="B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46" i="9" s="1"/>
  <c r="F26" i="9"/>
  <c r="E26" i="9"/>
  <c r="E51" i="9" s="1"/>
  <c r="D26" i="9"/>
  <c r="D51" i="9" s="1"/>
  <c r="C26" i="9"/>
  <c r="B26" i="9"/>
  <c r="F25" i="9"/>
  <c r="F24" i="9"/>
  <c r="E18" i="9"/>
  <c r="D18" i="9"/>
  <c r="C18" i="9"/>
  <c r="B18" i="9"/>
  <c r="E14" i="9"/>
  <c r="D14" i="9"/>
  <c r="C14" i="9"/>
  <c r="B14" i="9"/>
  <c r="C35" i="8"/>
  <c r="J34" i="8"/>
  <c r="J33" i="8"/>
  <c r="J30" i="8"/>
  <c r="J29" i="8"/>
  <c r="J27" i="8"/>
  <c r="J24" i="8"/>
  <c r="F50" i="7"/>
  <c r="F57" i="7" s="1"/>
  <c r="G30" i="7"/>
  <c r="G29" i="7"/>
  <c r="G28" i="7"/>
  <c r="G27" i="7"/>
  <c r="G26" i="7"/>
  <c r="G25" i="7"/>
  <c r="G24" i="7"/>
  <c r="G23" i="7"/>
  <c r="G22" i="7"/>
  <c r="G21" i="7"/>
  <c r="G20" i="7"/>
  <c r="G32" i="7" s="1"/>
  <c r="G19" i="7"/>
  <c r="G18" i="7"/>
  <c r="G17" i="7"/>
  <c r="G16" i="7"/>
  <c r="G15" i="7"/>
  <c r="G14" i="7"/>
  <c r="G13" i="7"/>
  <c r="G12" i="7"/>
  <c r="G11" i="7"/>
  <c r="B4" i="7"/>
  <c r="B92" i="6"/>
  <c r="B93" i="6" s="1"/>
  <c r="B48" i="6"/>
  <c r="B50" i="6" s="1"/>
  <c r="B52" i="6" s="1"/>
  <c r="D40" i="6"/>
  <c r="C40" i="6"/>
  <c r="C39" i="6"/>
  <c r="D38" i="6"/>
  <c r="C38" i="6"/>
  <c r="D37" i="6"/>
  <c r="C37" i="6"/>
  <c r="D27" i="6"/>
  <c r="D26" i="6"/>
  <c r="D25" i="6"/>
  <c r="B16" i="6"/>
  <c r="B18" i="6" s="1"/>
  <c r="B107" i="6" s="1"/>
  <c r="B11" i="6"/>
  <c r="C32" i="6" s="1"/>
  <c r="D4" i="6"/>
  <c r="B4" i="6"/>
  <c r="B8" i="18"/>
  <c r="B3" i="5"/>
  <c r="B42" i="16"/>
  <c r="B41" i="16"/>
  <c r="B40" i="16"/>
  <c r="B39" i="16"/>
  <c r="B26" i="18" s="1"/>
  <c r="J23" i="8" l="1"/>
  <c r="H35" i="8"/>
  <c r="H39" i="8" s="1"/>
  <c r="G35" i="8"/>
  <c r="B39" i="8" s="1"/>
  <c r="B41" i="8" s="1"/>
  <c r="I35" i="8"/>
  <c r="H40" i="8" s="1"/>
  <c r="B75" i="18"/>
  <c r="C29" i="17"/>
  <c r="E75" i="10"/>
  <c r="B11" i="18" s="1"/>
  <c r="B68" i="18" s="1"/>
  <c r="B66" i="6"/>
  <c r="B75" i="6" s="1"/>
  <c r="C75" i="6" s="1"/>
  <c r="D75" i="6"/>
  <c r="B67" i="6"/>
  <c r="B65" i="18"/>
  <c r="C51" i="17"/>
  <c r="D71" i="9"/>
  <c r="B31" i="18"/>
  <c r="E40" i="15"/>
  <c r="E71" i="15" s="1"/>
  <c r="E74" i="15" s="1"/>
  <c r="B19" i="18"/>
  <c r="B42" i="7"/>
  <c r="B47" i="7" s="1"/>
  <c r="G34" i="7"/>
  <c r="G35" i="7" s="1"/>
  <c r="F58" i="7" s="1"/>
  <c r="B40" i="7"/>
  <c r="B9" i="18"/>
  <c r="B50" i="18"/>
  <c r="F51" i="9"/>
  <c r="B24" i="18"/>
  <c r="B72" i="12"/>
  <c r="B10" i="18"/>
  <c r="E64" i="14"/>
  <c r="B65" i="14"/>
  <c r="B51" i="18" s="1"/>
  <c r="B66" i="14"/>
  <c r="E73" i="15"/>
  <c r="E72" i="15"/>
  <c r="D32" i="6"/>
  <c r="J7" i="10"/>
  <c r="C33" i="6"/>
  <c r="C34" i="6"/>
  <c r="C35" i="6"/>
  <c r="D35" i="6"/>
  <c r="D33" i="6"/>
  <c r="C36" i="6"/>
  <c r="D34" i="6"/>
  <c r="D36" i="6"/>
  <c r="H48" i="15"/>
  <c r="B55" i="15" s="1"/>
  <c r="J25" i="8"/>
  <c r="D39" i="6"/>
  <c r="D56" i="11"/>
  <c r="D60" i="11" s="1"/>
  <c r="D63" i="11" s="1"/>
  <c r="E32" i="10"/>
  <c r="E33" i="10"/>
  <c r="B95" i="6"/>
  <c r="B97" i="6" s="1"/>
  <c r="C30" i="6"/>
  <c r="D30" i="6"/>
  <c r="D102" i="6" s="1"/>
  <c r="B108" i="6" s="1"/>
  <c r="C31" i="6"/>
  <c r="D31" i="6"/>
  <c r="J35" i="8" l="1"/>
  <c r="H41" i="8" s="1"/>
  <c r="B12" i="18"/>
  <c r="B36" i="18" s="1"/>
  <c r="B111" i="6"/>
  <c r="B109" i="6"/>
  <c r="B112" i="6"/>
  <c r="B16" i="18" s="1"/>
  <c r="B15" i="18"/>
  <c r="B78" i="6"/>
  <c r="B77" i="6"/>
  <c r="B76" i="6"/>
  <c r="B83" i="6"/>
  <c r="B81" i="6"/>
  <c r="B82" i="6"/>
  <c r="B80" i="6"/>
  <c r="B84" i="6"/>
  <c r="B79" i="6"/>
  <c r="B73" i="18"/>
  <c r="C56" i="17"/>
  <c r="C76" i="6"/>
  <c r="B67" i="18"/>
  <c r="C57" i="17"/>
  <c r="B74" i="18"/>
  <c r="B28" i="18"/>
  <c r="B38" i="18" s="1"/>
  <c r="C27" i="17"/>
  <c r="B66" i="18"/>
  <c r="C21" i="17"/>
  <c r="D70" i="11"/>
  <c r="D71" i="11" s="1"/>
  <c r="B18" i="18" s="1"/>
  <c r="D65" i="11"/>
  <c r="D64" i="11"/>
  <c r="F59" i="7"/>
  <c r="B48" i="7" s="1"/>
  <c r="B30" i="18"/>
  <c r="C19" i="17"/>
  <c r="C23" i="17" s="1"/>
  <c r="H45" i="8" l="1"/>
  <c r="B50" i="7"/>
  <c r="B53" i="7"/>
  <c r="B76" i="18"/>
  <c r="B32" i="18"/>
  <c r="B39" i="18" s="1"/>
  <c r="C55" i="17"/>
  <c r="B72" i="18"/>
  <c r="C101" i="17"/>
  <c r="C33" i="17"/>
  <c r="C77" i="6"/>
  <c r="D76" i="6"/>
  <c r="B69" i="18"/>
  <c r="C52" i="17"/>
  <c r="B70" i="18"/>
  <c r="C53" i="17"/>
  <c r="B51" i="7"/>
  <c r="B17" i="18" s="1"/>
  <c r="C35" i="17"/>
  <c r="B71" i="18" l="1"/>
  <c r="C54" i="17"/>
  <c r="B21" i="18"/>
  <c r="B37" i="18" s="1"/>
  <c r="B40" i="18" s="1"/>
  <c r="C46" i="17"/>
  <c r="C77" i="17"/>
  <c r="C58" i="17"/>
  <c r="C78" i="6"/>
  <c r="D77" i="6"/>
  <c r="F59" i="18" l="1"/>
  <c r="F60" i="18" s="1"/>
  <c r="F61" i="18" s="1"/>
  <c r="D59" i="18"/>
  <c r="D60" i="18" s="1"/>
  <c r="D61" i="18" s="1"/>
  <c r="D62" i="18" s="1"/>
  <c r="E59" i="18"/>
  <c r="E60" i="18" s="1"/>
  <c r="E61" i="18" s="1"/>
  <c r="E62" i="18" s="1"/>
  <c r="C59" i="18"/>
  <c r="C60" i="18" s="1"/>
  <c r="C61" i="18" s="1"/>
  <c r="C62" i="18" s="1"/>
  <c r="C79" i="6"/>
  <c r="D78" i="6"/>
  <c r="C104" i="17"/>
  <c r="C100" i="17"/>
  <c r="C61" i="17"/>
  <c r="C63" i="17" s="1"/>
  <c r="B59" i="18"/>
  <c r="B60" i="18" s="1"/>
  <c r="B61" i="18" s="1"/>
  <c r="B62" i="18" s="1"/>
  <c r="B48" i="18"/>
  <c r="B49" i="18"/>
  <c r="F62" i="18" l="1"/>
  <c r="B52" i="18"/>
  <c r="B96" i="18" s="1"/>
  <c r="C70" i="17"/>
  <c r="C67" i="17"/>
  <c r="C69" i="17"/>
  <c r="C72" i="17"/>
  <c r="C71" i="17"/>
  <c r="C68" i="17"/>
  <c r="C97" i="17"/>
  <c r="C102" i="17" s="1"/>
  <c r="C105" i="17" s="1"/>
  <c r="C81" i="17"/>
  <c r="C66" i="17"/>
  <c r="B98" i="18"/>
  <c r="B97" i="18"/>
  <c r="B99" i="18" s="1"/>
  <c r="C80" i="6"/>
  <c r="D79" i="6"/>
  <c r="C81" i="6" l="1"/>
  <c r="D80" i="6"/>
  <c r="C73" i="17"/>
  <c r="C95" i="17" l="1"/>
  <c r="C83" i="17"/>
  <c r="C82" i="6"/>
  <c r="D81" i="6"/>
  <c r="C83" i="6" l="1"/>
  <c r="D82" i="6"/>
  <c r="D108" i="17"/>
  <c r="C115" i="17"/>
  <c r="D115" i="17" s="1"/>
  <c r="C96" i="17"/>
  <c r="C94" i="17"/>
  <c r="D94" i="17" s="1"/>
  <c r="D111" i="17" l="1"/>
  <c r="D109" i="17"/>
  <c r="F108" i="17"/>
  <c r="F109" i="17" s="1"/>
  <c r="D110" i="17"/>
  <c r="C84" i="6"/>
  <c r="D84" i="6" s="1"/>
  <c r="D83" i="6"/>
  <c r="F110" i="17" l="1"/>
  <c r="F11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Eiduk</author>
  </authors>
  <commentList>
    <comment ref="H23" authorId="0" shapeId="0" xr:uid="{252A9CD4-95AD-4988-BC24-83233F7E0BE8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  <comment ref="H24" authorId="0" shapeId="0" xr:uid="{8DD7CBDB-2BC5-4ADF-802C-BA29FC1F2D39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  <comment ref="H25" authorId="0" shapeId="0" xr:uid="{004E2C13-A767-4C7F-BE9C-9EC9FA01F216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  <comment ref="H26" authorId="0" shapeId="0" xr:uid="{EB8FCA99-013F-49CB-A051-1F014E348226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  <comment ref="H27" authorId="0" shapeId="0" xr:uid="{33121B1F-C9AC-4784-AC6D-898A2D701912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  <comment ref="H28" authorId="0" shapeId="0" xr:uid="{411B49F7-758A-488D-84A0-AD46B1A075D3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  <comment ref="H29" authorId="0" shapeId="0" xr:uid="{5558A2C0-7DFB-4142-A83B-2FF983322355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  <comment ref="H30" authorId="0" shapeId="0" xr:uid="{8CB2E45C-847C-4D96-BAD9-0C92828AAEC1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  <comment ref="H31" authorId="0" shapeId="0" xr:uid="{02B1A952-E338-4528-A8E0-BCD863370738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  <comment ref="H32" authorId="0" shapeId="0" xr:uid="{FC45F495-3B54-4B02-8B86-A41EE43795E6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  <comment ref="H33" authorId="0" shapeId="0" xr:uid="{5A43240F-7686-4327-93C2-8C974C0C99E3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  <comment ref="H34" authorId="0" shapeId="0" xr:uid="{A01B9D1D-0CE8-42E6-B3FC-21E4C326D44E}">
      <text>
        <r>
          <rPr>
            <b/>
            <sz val="9"/>
            <color indexed="81"/>
            <rFont val="Tahoma"/>
            <charset val="1"/>
          </rPr>
          <t>Bonus Depreciation: 100% of cost/basis (OBBBA 2025). Deducts full asset cost in Year 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D5" authorId="0" shapeId="0" xr:uid="{00000000-0006-0000-0F00-000001000000}">
      <text>
        <r>
          <rPr>
            <sz val="11"/>
            <color theme="1"/>
            <rFont val="Calibri"/>
            <family val="2"/>
            <charset val="1"/>
          </rPr>
          <t>John Eiduk:
New OBBBA 2025 provision: Ages 60-63 get enhanced catch-up contributions. 401(k) super catch-up is $11,250 (vs $7,500 standard catch-up). Strategy P3 #27.</t>
        </r>
      </text>
    </comment>
  </commentList>
</comments>
</file>

<file path=xl/sharedStrings.xml><?xml version="1.0" encoding="utf-8"?>
<sst xmlns="http://schemas.openxmlformats.org/spreadsheetml/2006/main" count="1718" uniqueCount="1351">
  <si>
    <t>RETIREMENT &amp; INVESTMENT CONTRIBUTIONS TRACKER</t>
  </si>
  <si>
    <t>Track your contributions for tax planning and wealth building — Strategies P3 #18-28</t>
  </si>
  <si>
    <t>⏱ Estimated Time: 3-5 hours to evaluate plan options + 30 min/quarter tracking</t>
  </si>
  <si>
    <t>2025 CONTRIBUTION LIMITS (Reference)</t>
  </si>
  <si>
    <t>Account Type</t>
  </si>
  <si>
    <t>Under 50</t>
  </si>
  <si>
    <t>50+ Catch-Up</t>
  </si>
  <si>
    <t>60-63 Super Catch-Up</t>
  </si>
  <si>
    <t>Strategy</t>
  </si>
  <si>
    <t>401(k) Employee Deferral</t>
  </si>
  <si>
    <t>$23,500</t>
  </si>
  <si>
    <t>$31,000</t>
  </si>
  <si>
    <t>$34,750</t>
  </si>
  <si>
    <t>P3 #19</t>
  </si>
  <si>
    <t>401(k) Total (incl. employer)</t>
  </si>
  <si>
    <t>$70,000</t>
  </si>
  <si>
    <t>$77,500</t>
  </si>
  <si>
    <t>$81,250</t>
  </si>
  <si>
    <t>P3 #19, #25-26</t>
  </si>
  <si>
    <t>Traditional/Roth IRA</t>
  </si>
  <si>
    <t>$7,000</t>
  </si>
  <si>
    <t>$8,000</t>
  </si>
  <si>
    <t>P3 #23</t>
  </si>
  <si>
    <t>HSA - Self Only</t>
  </si>
  <si>
    <t>$4,300</t>
  </si>
  <si>
    <t>$5,300</t>
  </si>
  <si>
    <t>P3 #22</t>
  </si>
  <si>
    <t>HSA - Family</t>
  </si>
  <si>
    <t>$8,550</t>
  </si>
  <si>
    <t>$9,550</t>
  </si>
  <si>
    <t>SEP IRA (25% of comp)</t>
  </si>
  <si>
    <t>Up to $70,000</t>
  </si>
  <si>
    <t>P3 #18</t>
  </si>
  <si>
    <t>Cash Balance Plan</t>
  </si>
  <si>
    <t>Age-based</t>
  </si>
  <si>
    <t>$280,000+</t>
  </si>
  <si>
    <t>P3 #20</t>
  </si>
  <si>
    <t>YOUR 2025 CONTRIBUTIONS</t>
  </si>
  <si>
    <t>Date</t>
  </si>
  <si>
    <t>Amount</t>
  </si>
  <si>
    <t>YTD Total</t>
  </si>
  <si>
    <t>2025 Limit</t>
  </si>
  <si>
    <t>Remaining</t>
  </si>
  <si>
    <t>Pre/Post Tax</t>
  </si>
  <si>
    <t>Notes</t>
  </si>
  <si>
    <t>401(k) Employee</t>
  </si>
  <si>
    <t>Pre-Tax</t>
  </si>
  <si>
    <t>401(k) Employer Match</t>
  </si>
  <si>
    <t>401(k) Profit Sharing</t>
  </si>
  <si>
    <t>P3 #13</t>
  </si>
  <si>
    <t>Roth 401(k)</t>
  </si>
  <si>
    <t>Post-Tax</t>
  </si>
  <si>
    <t>After-Tax 401(k)</t>
  </si>
  <si>
    <t>P3 #15 Mega Backdoor</t>
  </si>
  <si>
    <t>Traditional IRA</t>
  </si>
  <si>
    <t>Roth IRA</t>
  </si>
  <si>
    <t>P3 #17</t>
  </si>
  <si>
    <t>Backdoor Roth</t>
  </si>
  <si>
    <t>SEP IRA</t>
  </si>
  <si>
    <t>HSA</t>
  </si>
  <si>
    <t>P3 #16 Triple Tax</t>
  </si>
  <si>
    <t>P3 #14</t>
  </si>
  <si>
    <t>CONTRIBUTION SUMMARY BY TAX STATUS</t>
  </si>
  <si>
    <t>Total Pre-Tax Contributions</t>
  </si>
  <si>
    <t>Reduces current year taxable income</t>
  </si>
  <si>
    <t>Total Roth/Post-Tax Contributions</t>
  </si>
  <si>
    <t>Tax-free growth and withdrawals</t>
  </si>
  <si>
    <t>Total HSA Contributions</t>
  </si>
  <si>
    <t>Triple tax advantage</t>
  </si>
  <si>
    <t>TOTAL ALL RETIREMENT CONTRIBUTIONS</t>
  </si>
  <si>
    <t>INVESTMENT ACCOUNT CHECKLIST</t>
  </si>
  <si>
    <t>☐ Maximize employer 401(k) match (free money!)</t>
  </si>
  <si>
    <t>☐ Max out HSA if eligible ($4,300 self / $8,550 family)</t>
  </si>
  <si>
    <t>☐ Consider Backdoor Roth IRA if income too high</t>
  </si>
  <si>
    <t>☐ Discuss Mega Backdoor Roth with advisor</t>
  </si>
  <si>
    <t>☐ Review Cash Balance Plan opportunity with advisor</t>
  </si>
  <si>
    <t>☐ Update beneficiary designations annually</t>
  </si>
  <si>
    <t>☐ Consolidate old 401(k)s if appropriate</t>
  </si>
  <si>
    <t>Questions? Contact Eiduk Tax &amp; Wealth: john@eiduktaxandwealth.com | 847-874-5299</t>
  </si>
  <si>
    <t>Pay Less. Keep More. Build Wealth.</t>
  </si>
  <si>
    <t>Systematic Tax Optimization For Business Owners</t>
  </si>
  <si>
    <t>This workbook does not constitute individual tax, legal, or financial advice. Consult your advisor.</t>
  </si>
  <si>
    <t>The Eiduk Pathway™ — Client Expense &amp; Deduction Tracker</t>
  </si>
  <si>
    <t>DIY Toolkit v5.0 — P1-P3 Strategies  |  Part of the Eiduk Pathway™ 80-Strategy Framework</t>
  </si>
  <si>
    <t>Worksheet</t>
  </si>
  <si>
    <t>Purpose</t>
  </si>
  <si>
    <t>Strategy #</t>
  </si>
  <si>
    <t>Est. Savings</t>
  </si>
  <si>
    <t>DIY Difficulty</t>
  </si>
  <si>
    <t>Status</t>
  </si>
  <si>
    <t>Key Deadlines</t>
  </si>
  <si>
    <t>SETUP &amp; REFERENCE</t>
  </si>
  <si>
    <t>Client Info</t>
  </si>
  <si>
    <t>Client details, engagement, quick reference</t>
  </si>
  <si>
    <t>—</t>
  </si>
  <si>
    <t>⬤○○○○</t>
  </si>
  <si>
    <t>☐ Not Started</t>
  </si>
  <si>
    <t>Before engagement begins</t>
  </si>
  <si>
    <t>Instructions</t>
  </si>
  <si>
    <t>How to use this workbook</t>
  </si>
  <si>
    <t>Document Checklist</t>
  </si>
  <si>
    <t>Document collection tracker by phase</t>
  </si>
  <si>
    <t>P1-P3</t>
  </si>
  <si>
    <t>⬤⬤⬤○○</t>
  </si>
  <si>
    <t>Ongoing — gather as available</t>
  </si>
  <si>
    <t>P1 FOUNDATION (#1-7)</t>
  </si>
  <si>
    <t>Expense Report</t>
  </si>
  <si>
    <t>Monthly accountable plan reimbursements</t>
  </si>
  <si>
    <t>#3</t>
  </si>
  <si>
    <t>$500-$3,000</t>
  </si>
  <si>
    <t>⬤⬤○○○</t>
  </si>
  <si>
    <t>Within 60 days of each expense</t>
  </si>
  <si>
    <t>14-Day Rental</t>
  </si>
  <si>
    <t>Augusta Rule tax-free rental tracker</t>
  </si>
  <si>
    <t>#4</t>
  </si>
  <si>
    <t>$2,000-$5,000</t>
  </si>
  <si>
    <t>⬤⬤⬤⬤○</t>
  </si>
  <si>
    <t>Must be ≤14 days/year</t>
  </si>
  <si>
    <t>Family Employment</t>
  </si>
  <si>
    <t>Child/family employee time &amp; wages</t>
  </si>
  <si>
    <t>#6</t>
  </si>
  <si>
    <t>$500-$5,000</t>
  </si>
  <si>
    <t>Each pay period + quarterly</t>
  </si>
  <si>
    <t>Crypto Tracker</t>
  </si>
  <si>
    <t>Dispositions, mining/DeFi income, charitable donations</t>
  </si>
  <si>
    <t>#7, #17</t>
  </si>
  <si>
    <t>$1,000-$50,000+</t>
  </si>
  <si>
    <t>⬤⬤⬤⬤⬤</t>
  </si>
  <si>
    <t>Before each disposition</t>
  </si>
  <si>
    <t>P2 CORE DEDUCTIONS (#8-17)</t>
  </si>
  <si>
    <t>Equipment</t>
  </si>
  <si>
    <t>Section 179, Bonus &amp; MACRS depreciation calculator</t>
  </si>
  <si>
    <t>#8, #11</t>
  </si>
  <si>
    <t>$2,000-$15,000</t>
  </si>
  <si>
    <t>Before asset is placed in service</t>
  </si>
  <si>
    <t>Schedule E</t>
  </si>
  <si>
    <t>Rental property P&amp;L, cost seg estimator, P5 flags</t>
  </si>
  <si>
    <t>#36-43</t>
  </si>
  <si>
    <t>$30,000-$150,000+</t>
  </si>
  <si>
    <t>Year-end — before filing</t>
  </si>
  <si>
    <t>Home Office</t>
  </si>
  <si>
    <t>Simplified vs. regular method comparison</t>
  </si>
  <si>
    <t>#9</t>
  </si>
  <si>
    <t>$1,000-$3,000</t>
  </si>
  <si>
    <t>Jan 1 — must be consistent all year</t>
  </si>
  <si>
    <t>Vehicle Mileage</t>
  </si>
  <si>
    <t>Business mileage log with deduction calc</t>
  </si>
  <si>
    <t>#10-11</t>
  </si>
  <si>
    <t>$500-$30,000</t>
  </si>
  <si>
    <t>Every business trip — contemporaneous</t>
  </si>
  <si>
    <t>Timing &amp; Loss Harvest</t>
  </si>
  <si>
    <t>Expense acceleration, income deferral, capital loss harvesting</t>
  </si>
  <si>
    <t>#15/15a</t>
  </si>
  <si>
    <t>$500-$10,000+</t>
  </si>
  <si>
    <t>Dec 31 for acceleration; 30-day wash rule</t>
  </si>
  <si>
    <t>Family Co &amp; Advisors</t>
  </si>
  <si>
    <t>Quarterly board meetings + year-end</t>
  </si>
  <si>
    <t>P3 RETIREMENT &amp; BENEFITS (#18-28)</t>
  </si>
  <si>
    <t>Health &amp; HSA</t>
  </si>
  <si>
    <t>S-Corp health insurance + HSA contributions</t>
  </si>
  <si>
    <t>#2, #22</t>
  </si>
  <si>
    <t>$3,500-$13,000</t>
  </si>
  <si>
    <t>S-Corp: before plan year; HSA: Apr 15</t>
  </si>
  <si>
    <t>Retirement Contributions</t>
  </si>
  <si>
    <t>401(k): Dec 31; IRA: Apr 15; SEP: Oct 15</t>
  </si>
  <si>
    <t>SUMMARY</t>
  </si>
  <si>
    <t>Annual Summary</t>
  </si>
  <si>
    <t>Consolidated totals for tax preparation</t>
  </si>
  <si>
    <t>All</t>
  </si>
  <si>
    <t>Estimated Taxes</t>
  </si>
  <si>
    <t>2025 quarterly estimated tax calculator with safe harbor</t>
  </si>
  <si>
    <t>2-3 hrs setup + 30 min/quarter</t>
  </si>
  <si>
    <t>WORKBOOK COVERAGE</t>
  </si>
  <si>
    <t>Worksheets:</t>
  </si>
  <si>
    <t>16 active tracking sheets + Schedule E rental P&amp;L</t>
  </si>
  <si>
    <t>Strategies Covered:</t>
  </si>
  <si>
    <t>17 of 17 P1-P2 strategies + P5 rental tracking (complete coverage)</t>
  </si>
  <si>
    <t>Phases Covered:</t>
  </si>
  <si>
    <t>P1 Foundation, P2 Core Deductions, P3 Retirement, P5 Real Estate (rental tracking)</t>
  </si>
  <si>
    <t>Your Progress:</t>
  </si>
  <si>
    <t>0 of 14 worksheets complete — use the Status column above to track</t>
  </si>
  <si>
    <t>⏱ TOTAL DIY TIME COMMITMENT</t>
  </si>
  <si>
    <t>Estimated Annual DIY Hours:</t>
  </si>
  <si>
    <t>68 – 102+ hours/year</t>
  </si>
  <si>
    <t>That's 1-2 hours every single week</t>
  </si>
  <si>
    <t>Includes:</t>
  </si>
  <si>
    <t>Recordkeeping, documentation, IRS compliance research, quarterly reviews, year-end calculations</t>
  </si>
  <si>
    <t>DIFFICULTY LEGEND:</t>
  </si>
  <si>
    <t>⬤○○○○ = Simple</t>
  </si>
  <si>
    <t>⬤⬤⬤○○ = Moderate (research required)</t>
  </si>
  <si>
    <t>⬤⬤⬤⬤⬤ = Complex (professional recommended)</t>
  </si>
  <si>
    <t>💡 PREFER A HANDS-OFF APPROACH?</t>
  </si>
  <si>
    <t>The Eiduk Pathway™ | DIY Toolkit v5.0 | © 2026 Eiduk Tax &amp; Wealth. All rights reserved.</t>
  </si>
  <si>
    <t>This workbook is for informational purposes only and does not constitute tax, legal, or financial advice.</t>
  </si>
  <si>
    <t>CONFIDENTIAL &amp; PROPRIETARY — This workbook and all associated materials are the intellectual property of Eiduk Tax &amp; Wealth.</t>
  </si>
  <si>
    <t>By using this workbook, you acknowledge that it is provided as-is without warranty. Consult a qualified tax professional before implementing any strategy.</t>
  </si>
  <si>
    <t>CLIENT INFORMATION</t>
  </si>
  <si>
    <t>⏱ Estimated Time: 1-2 hours initial setup + quarterly updates</t>
  </si>
  <si>
    <t>CLIENT DETAILS</t>
  </si>
  <si>
    <t>Client Name:</t>
  </si>
  <si>
    <t>Business Name:</t>
  </si>
  <si>
    <t>Entity Type:</t>
  </si>
  <si>
    <t>S-Corporation</t>
  </si>
  <si>
    <t>EIN:</t>
  </si>
  <si>
    <t>Tax Year:</t>
  </si>
  <si>
    <t>2025</t>
  </si>
  <si>
    <t>CONTACT INFORMATION</t>
  </si>
  <si>
    <t>Street Address:</t>
  </si>
  <si>
    <t>City, State ZIP:</t>
  </si>
  <si>
    <t>Phone:</t>
  </si>
  <si>
    <t>Email:</t>
  </si>
  <si>
    <t>ENGAGEMENT DETAILS</t>
  </si>
  <si>
    <t>Date Prepared:</t>
  </si>
  <si>
    <t>Prepared By:</t>
  </si>
  <si>
    <t>John Eiduk, CPA, CFP®</t>
  </si>
  <si>
    <t>Package Tier:</t>
  </si>
  <si>
    <t>Engagement ID:</t>
  </si>
  <si>
    <t>💡 Fields above are referenced throughout this workbook. Update here to update all sheets.</t>
  </si>
  <si>
    <t>WORKSHEET QUICK REFERENCE</t>
  </si>
  <si>
    <t>Simplified vs. Regular method comparison</t>
  </si>
  <si>
    <t>Section 179 and bonus depreciation tracking</t>
  </si>
  <si>
    <t>#8</t>
  </si>
  <si>
    <t>S-Corp health insurance and HSA contributions</t>
  </si>
  <si>
    <t>IRC §280A(g) tax-free rental tracker</t>
  </si>
  <si>
    <t>Child/family employee time and wages</t>
  </si>
  <si>
    <t>401(k), IRA, HSA contribution tracking</t>
  </si>
  <si>
    <t>#18-28</t>
  </si>
  <si>
    <t>Eiduk Tax &amp; Wealth | 847-874-5299 | john@eiduktaxandwealth.com | eiduktaxandwealth.com</t>
  </si>
  <si>
    <t>Business Expense &amp; Deduction Tracker</t>
  </si>
  <si>
    <t>Instructions &amp; Quick Reference Guide</t>
  </si>
  <si>
    <t>PURPOSE</t>
  </si>
  <si>
    <t>This workbook helps S-Corp business owners track and document tax deductions throughout the year.</t>
  </si>
  <si>
    <t>Complete documentation is essential for IRS compliance and maximizing legitimate tax savings.</t>
  </si>
  <si>
    <t>WORKSHEET GUIDE</t>
  </si>
  <si>
    <t>Description</t>
  </si>
  <si>
    <t>Eiduk Pathway™</t>
  </si>
  <si>
    <t>Track monthly accountable plan expenses. Submit within 60 days of incurring. Keep receipts for expenses over $75. Categories auto-total for easy reporting.</t>
  </si>
  <si>
    <t>P1 #3 Accountable Plan</t>
  </si>
  <si>
    <t>Compare Simplified ($5/sq ft) vs Regular (actual expenses) methods. Includes full depreciation schedule and recapture analysis. Choose method that maximizes deduction while considering long-term implications.</t>
  </si>
  <si>
    <t>P2 #9 Home Office</t>
  </si>
  <si>
    <t>Vehicle Deduction</t>
  </si>
  <si>
    <t>Log business mileage with date, destination, and purpose. Compare Standard Mileage ($0.70/mile for 2025) vs Actual Expense methods. Must choose method in first year vehicle is used for business.</t>
  </si>
  <si>
    <t>P2 #10-11 Vehicle Strategy</t>
  </si>
  <si>
    <t>Equipment &amp; Assets</t>
  </si>
  <si>
    <t>Track Section 179 and bonus depreciation for business equipment purchases. 2025 Section 179 limit: $2,500,000 (OBBBA). Plan purchases strategically for maximum first-year deduction.</t>
  </si>
  <si>
    <t>P2 #8 §179 &amp; Bonus</t>
  </si>
  <si>
    <t>Track S-Corp health insurance premiums (add to W-2 Box 1) and HSA contributions. 2025 HSA limits: $4,300 self / $8,550 family + $1,000 catch-up (55+). Triple tax advantage.</t>
  </si>
  <si>
    <t>P1 #2 Health + P3 #22 HSA</t>
  </si>
  <si>
    <t>Document tax-free rental of home to S-Corp (max 14 days/year). Requires fair market value documentation, written rental agreement, and business purpose for each rental day.</t>
  </si>
  <si>
    <t>P1 #4 Augusta Rule</t>
  </si>
  <si>
    <t>Track wages paid to children/family. Document job duties, time worked, and reasonable compensation. Children can earn up to $15,000 tax-free (2025 standard deduction).</t>
  </si>
  <si>
    <t>P1 #6 Family Employment</t>
  </si>
  <si>
    <t>Pulls totals from all worksheets. Shows total deductions, tax-free income, and estimated tax savings. Use for tax preparation and year-end planning.</t>
  </si>
  <si>
    <t>All P1-P3 Totals</t>
  </si>
  <si>
    <t>KEY DEADLINES &amp; LIMITS (2025)</t>
  </si>
  <si>
    <t>Accountable Plan Submission</t>
  </si>
  <si>
    <t>Within 60 days of expense</t>
  </si>
  <si>
    <t>Return Excess Reimbursement</t>
  </si>
  <si>
    <t>Within 120 days</t>
  </si>
  <si>
    <t>14-Day Rental Maximum</t>
  </si>
  <si>
    <t>14 days per property per year</t>
  </si>
  <si>
    <t>Standard Mileage Rate</t>
  </si>
  <si>
    <t>$0.70 per mile</t>
  </si>
  <si>
    <t>Section 179 Limit</t>
  </si>
  <si>
    <t>$2,500,000 (OBBBA doubled)</t>
  </si>
  <si>
    <t>Bonus Depreciation</t>
  </si>
  <si>
    <t>100% for 2025 (OBBBA reinstated)</t>
  </si>
  <si>
    <t>HSA Limits (Self / Family)</t>
  </si>
  <si>
    <t>$4,300 / $8,550 + $1,000 catch-up</t>
  </si>
  <si>
    <t>Child Standard Deduction</t>
  </si>
  <si>
    <t>$15,000 (tax-free earned income)</t>
  </si>
  <si>
    <t>Roth IRA Contribution Limit</t>
  </si>
  <si>
    <t>$7,000 (or 100% of earned income)</t>
  </si>
  <si>
    <t>Home Office Simplified Max</t>
  </si>
  <si>
    <t>$1,500 (300 sq ft × $5)</t>
  </si>
  <si>
    <t>DOCUMENTATION BEST PRACTICES</t>
  </si>
  <si>
    <t>✓ Keep receipts for ALL expenses over $75 - photos/scans are acceptable</t>
  </si>
  <si>
    <t>✓ Document business purpose at time of expense, not later</t>
  </si>
  <si>
    <t>✓ Mileage logs must be contemporaneous - record trips as they occur</t>
  </si>
  <si>
    <t>✓ Home office photos showing exclusive business use</t>
  </si>
  <si>
    <t>✓ Family employment: signed timesheets, job descriptions, W-4 on file</t>
  </si>
  <si>
    <t>✓ 14-day rental: written agreement, board minutes, comparable rate documentation</t>
  </si>
  <si>
    <t>✓ Equipment purchases: invoices, proof of payment, date placed in service</t>
  </si>
  <si>
    <t>✓ Health insurance: add annual premium to W-2 Box 1 for &gt;2% shareholders</t>
  </si>
  <si>
    <t>✓ HSA: must have HDHP, cannot be on Medicare or claimed as dependent</t>
  </si>
  <si>
    <t>✓ Retain all records for 7 years minimum</t>
  </si>
  <si>
    <t>EIDUK PATHWAY™ INTEGRATION</t>
  </si>
  <si>
    <t>This workbook supports Phases 1-3 of the Eiduk Pathway™ (80 strategies):</t>
  </si>
  <si>
    <t>Phase</t>
  </si>
  <si>
    <t>Strategies</t>
  </si>
  <si>
    <t>Worksheets Here</t>
  </si>
  <si>
    <t>P1: Foundation</t>
  </si>
  <si>
    <t>#1-7 ($8k-$25k)</t>
  </si>
  <si>
    <t>Health&amp;HSA, Expense, 14-Day, Crypto</t>
  </si>
  <si>
    <t>P2: Core Deductions</t>
  </si>
  <si>
    <t>#8-17 ($5k-$75k)</t>
  </si>
  <si>
    <t>Equip, Home, Vehicle, Family, Timing</t>
  </si>
  <si>
    <t>P3: Retirement</t>
  </si>
  <si>
    <t>#18-28 ($10k-$150k+)</t>
  </si>
  <si>
    <t>QUARTERLY REVIEW PROCESS</t>
  </si>
  <si>
    <t>Your advisor uses the S-Corp Quarterly Meeting Workpaper to</t>
  </si>
  <si>
    <t>review your progress each quarter. Complete this tracker</t>
  </si>
  <si>
    <t>throughout the year and bring it to quarterly meetings.</t>
  </si>
  <si>
    <t>Full 44-Strategy Reference: Ask your advisor for the complete</t>
  </si>
  <si>
    <t>Eiduk Pathway™ framework covering all 9 phases (P1-P9).</t>
  </si>
  <si>
    <t>Eiduk Tax &amp; Wealth</t>
  </si>
  <si>
    <t>847-874-5299 | john@eiduktaxandwealth.com</t>
  </si>
  <si>
    <t>calendly.com/eiduktaxandwealth</t>
  </si>
  <si>
    <t>P1 Foundation, P2 Core Deductions &amp; P3 Retirement Implementation</t>
  </si>
  <si>
    <t>Target Savings: $66k-$244k+  |  ⏱ Est. 4-8 hrs to gather all required documents</t>
  </si>
  <si>
    <t>CLIENT-SPECIFIC DOCUMENTS</t>
  </si>
  <si>
    <t>Add items from meeting notes:</t>
  </si>
  <si>
    <t>☐</t>
  </si>
  <si>
    <t>Document Required</t>
  </si>
  <si>
    <t>Received</t>
  </si>
  <si>
    <t>Target Savings: $8k-$25k  |  Timeline: Year 1, Weeks 1-4</t>
  </si>
  <si>
    <t>#1 Reasonable Compensation (§3121)</t>
  </si>
  <si>
    <t>Prior year tax returns (2 years)</t>
  </si>
  <si>
    <t>W-2 history for shareholder-employees</t>
  </si>
  <si>
    <t>Complete RC Reports Survey</t>
  </si>
  <si>
    <t>Job descriptions for all shareholder roles</t>
  </si>
  <si>
    <t>#2 S-Corp Health Insurance (§162(l))</t>
  </si>
  <si>
    <t>Health insurance policy declarations page</t>
  </si>
  <si>
    <t>Premium payment documentation/statements</t>
  </si>
  <si>
    <t>Proof of shareholder ownership percentage (&gt;2%)</t>
  </si>
  <si>
    <t>#3 Accountable Plan (§62(a)(2)(A))</t>
  </si>
  <si>
    <t>Receipts for all reimbursable expenses</t>
  </si>
  <si>
    <t>Credit card/bank statements showing business expenses</t>
  </si>
  <si>
    <t>Mileage log with dates, destinations, business purpose</t>
  </si>
  <si>
    <t>#4 Augusta Rule (§280A(g))</t>
  </si>
  <si>
    <t>Comparable rental rate documentation (VRBO, Airbnb, hotels)</t>
  </si>
  <si>
    <t>Meeting agendas for each rental day</t>
  </si>
  <si>
    <t>Attendance list/sign-in sheets</t>
  </si>
  <si>
    <t>Calendar showing dates used (≤14 days)</t>
  </si>
  <si>
    <t>#6 Hiring Kids (§73, §3121(b)(3)(A))</t>
  </si>
  <si>
    <t>List of tasks performed by each family member</t>
  </si>
  <si>
    <t>Time tracking records (hours worked per week)</t>
  </si>
  <si>
    <t>Work samples/documentation of tasks completed</t>
  </si>
  <si>
    <t>For children: birth certificate (age verification)</t>
  </si>
  <si>
    <t>#5 Asset Reimbursement (§162)</t>
  </si>
  <si>
    <t>List of personal assets used for business</t>
  </si>
  <si>
    <t>Purchase receipts/documentation for each asset</t>
  </si>
  <si>
    <t>Business use percentage estimate for each asset</t>
  </si>
  <si>
    <t>Target Savings: $5k-$75k  |  Timeline: Year 1, Weeks 3-8</t>
  </si>
  <si>
    <t>#8 Depreciation Optimization (§179, §168(k))</t>
  </si>
  <si>
    <t>Purchase invoices for equipment</t>
  </si>
  <si>
    <t>Placed-in-service dates for each asset</t>
  </si>
  <si>
    <t>Business use percentage documentation</t>
  </si>
  <si>
    <t>#8 (cont.) Bonus Depreciation</t>
  </si>
  <si>
    <t>Asset acquisition invoices/receipts</t>
  </si>
  <si>
    <t>New vs. used asset documentation</t>
  </si>
  <si>
    <t>Placed-in-service dates</t>
  </si>
  <si>
    <t>#9 Home Office Deduction (§280A(c))</t>
  </si>
  <si>
    <t>Home office square footage measurement</t>
  </si>
  <si>
    <t>Total home square footage</t>
  </si>
  <si>
    <t>Annual utility bills (electric, gas, internet)</t>
  </si>
  <si>
    <t>Mortgage statement or rent payments</t>
  </si>
  <si>
    <t>Home insurance declarations page</t>
  </si>
  <si>
    <t>Property tax statement</t>
  </si>
  <si>
    <t>#10 Vehicle / Mileage Deduction (§162, §274)</t>
  </si>
  <si>
    <t>Vehicle registration/title</t>
  </si>
  <si>
    <t>Window sticker showing GVWR (if 6,000+ lbs)</t>
  </si>
  <si>
    <t>Completed mileage log (dates, destinations, purpose)</t>
  </si>
  <si>
    <t>Odometer readings (beginning and end of year)</t>
  </si>
  <si>
    <t>Auto insurance declarations page</t>
  </si>
  <si>
    <t>#12 QBI Deduction Optimization (§199A)</t>
  </si>
  <si>
    <t>List of all business entities/activities</t>
  </si>
  <si>
    <t>Description of services provided (SSTB determination)</t>
  </si>
  <si>
    <t>Fixed asset list with acquisition dates and costs</t>
  </si>
  <si>
    <t>#15 Timing Strategies (§461, §451)</t>
  </si>
  <si>
    <t>Accounts receivable aging report (year-end)</t>
  </si>
  <si>
    <t>Accounts payable listing (year-end)</t>
  </si>
  <si>
    <t>List of planned equipment purchases</t>
  </si>
  <si>
    <t>Target Savings: $10k-$150k+  |  Timeline: Year 1, Weeks 5-12</t>
  </si>
  <si>
    <t>#19 Solo 401(k) (§401(k))</t>
  </si>
  <si>
    <t>Current retirement account statements (IRA, 401k, etc.)</t>
  </si>
  <si>
    <t>Prior year W-2 wages (for contribution limits)</t>
  </si>
  <si>
    <t>Date of birth (for catch-up contribution eligibility)</t>
  </si>
  <si>
    <t>List of other employer retirement plans (if any)</t>
  </si>
  <si>
    <t>#26 Profit Sharing Contribution (§401(a)(3))</t>
  </si>
  <si>
    <t>Employee census (name, DOB, hire date, compensation)</t>
  </si>
  <si>
    <t>Current plan documents (if existing plan)</t>
  </si>
  <si>
    <t>Year-end compensation for all employees</t>
  </si>
  <si>
    <t>#20 Cash Balance Plan (§401(a), §415)</t>
  </si>
  <si>
    <t>Date of birth for all owners/key employees</t>
  </si>
  <si>
    <t>Projected W-2 compensation for next 3-5 years</t>
  </si>
  <si>
    <t>Complete employee census with compensation</t>
  </si>
  <si>
    <t>Existing retirement plan documents</t>
  </si>
  <si>
    <t>Desired annual contribution target</t>
  </si>
  <si>
    <t>#21 Mega Backdoor Roth (§402(c), §401(k))</t>
  </si>
  <si>
    <t>Current 401(k) plan documents</t>
  </si>
  <si>
    <t>Confirmation plan allows after-tax contributions</t>
  </si>
  <si>
    <t>Confirmation plan allows in-plan Roth conversions</t>
  </si>
  <si>
    <t>YTD employee deferrals and employer contributions</t>
  </si>
  <si>
    <t>#22 HSA Contributions (§223)</t>
  </si>
  <si>
    <t>HDHP enrollment confirmation</t>
  </si>
  <si>
    <t>Health insurance plan deductible amounts</t>
  </si>
  <si>
    <t>Current HSA account statement (if existing)</t>
  </si>
  <si>
    <t>YTD HSA contributions made</t>
  </si>
  <si>
    <t>Coverage type: self-only or family</t>
  </si>
  <si>
    <t>#23 Backdoor Roth IRA (§408A, §408(d)(2))</t>
  </si>
  <si>
    <t>Traditional IRA statements (all accounts)</t>
  </si>
  <si>
    <t>SEP IRA statements (if any)</t>
  </si>
  <si>
    <t>SIMPLE IRA statements (if any)</t>
  </si>
  <si>
    <t>Prior year Form 8606 (if filed)</t>
  </si>
  <si>
    <t>Roth IRA statements</t>
  </si>
  <si>
    <t>#24 Roth Conversion Strategy (§408A(d)(3))</t>
  </si>
  <si>
    <t>All Traditional IRA/401(k) statements with balances</t>
  </si>
  <si>
    <t>Cost basis in Traditional IRAs (Form 8606 history)</t>
  </si>
  <si>
    <t>Multi-year income projection</t>
  </si>
  <si>
    <t>Expected retirement date/age</t>
  </si>
  <si>
    <t>#28 Self-Directed Accounts (§408, §4975)</t>
  </si>
  <si>
    <t>List of desired alternative investments</t>
  </si>
  <si>
    <t>Current retirement account balances available to transfer</t>
  </si>
  <si>
    <t>Investment opportunity documentation</t>
  </si>
  <si>
    <t>#14 Section 105 Medical Reimbursement (§105, §106)</t>
  </si>
  <si>
    <t>Employee count and coverage needs</t>
  </si>
  <si>
    <t>Employees' individual health insurance documentation</t>
  </si>
  <si>
    <t>Desired monthly reimbursement amounts</t>
  </si>
  <si>
    <t>Eiduk Tax &amp; Wealth  |  John Eiduk, CPA, CFP®, MSCTA  |  847-874-5299</t>
  </si>
  <si>
    <t>Accountable Plan - Monthly Expense Report</t>
  </si>
  <si>
    <t>IRC §62(a)(2)(A)  |  P1 Strategy #3  |  Submit within 60 days  |  ⏱ Est. 1-2 hrs/month</t>
  </si>
  <si>
    <t>Employee Name:</t>
  </si>
  <si>
    <t>Report Month:</t>
  </si>
  <si>
    <t>Date Submitted:</t>
  </si>
  <si>
    <t>Category</t>
  </si>
  <si>
    <t>Business Purpose</t>
  </si>
  <si>
    <t>Receipt</t>
  </si>
  <si>
    <t>TOTAL EXPENSES</t>
  </si>
  <si>
    <t>CATEGORY SUBTOTALS</t>
  </si>
  <si>
    <t>Meals &amp; Entertainment</t>
  </si>
  <si>
    <t>Client Entertainment</t>
  </si>
  <si>
    <t>Travel - Airfare</t>
  </si>
  <si>
    <t>Client Gifts (≤$25/person)</t>
  </si>
  <si>
    <t>Travel - Lodging</t>
  </si>
  <si>
    <t>Dues &amp; Subscriptions</t>
  </si>
  <si>
    <t>Travel - Ground Transport</t>
  </si>
  <si>
    <t>Books / Publications</t>
  </si>
  <si>
    <t>Vehicle (Gas/Parking/Tolls)</t>
  </si>
  <si>
    <t>Marketing &amp; Advertising</t>
  </si>
  <si>
    <t>Mileage Reimbursement</t>
  </si>
  <si>
    <t>Equipment &amp; Technology</t>
  </si>
  <si>
    <t>Office Supplies</t>
  </si>
  <si>
    <t>Professional Services</t>
  </si>
  <si>
    <t>Cell Phone / Mobile</t>
  </si>
  <si>
    <t>Business Insurance</t>
  </si>
  <si>
    <t>Internet Service</t>
  </si>
  <si>
    <t>Bank / Merchant Fees</t>
  </si>
  <si>
    <t>Software / SaaS</t>
  </si>
  <si>
    <t>Shipping / Postage</t>
  </si>
  <si>
    <t>Professional Development</t>
  </si>
  <si>
    <t>Business Interest Expense</t>
  </si>
  <si>
    <t>Continuing Ed / Licenses</t>
  </si>
  <si>
    <t>Other Business Expense</t>
  </si>
  <si>
    <t>CERTIFICATION: I certify these expenses were incurred for legitimate business purposes.</t>
  </si>
  <si>
    <t>Employee Signature: _________________________  Date: ___________</t>
  </si>
  <si>
    <t>Supervisor Approval: _________________________  Date: ___________</t>
  </si>
  <si>
    <t>Home Office Deduction Worksheet</t>
  </si>
  <si>
    <t>IRC §280A - Regular vs. Simplified Method with Depreciation Analysis</t>
  </si>
  <si>
    <t>⏱ Estimated Time: 2-4 hours to measure, calculate, and document</t>
  </si>
  <si>
    <t>Taxpayer Name:</t>
  </si>
  <si>
    <t>STEP 1: SQUARE FOOTAGE CALCULATION</t>
  </si>
  <si>
    <t>Total Home Square Footage</t>
  </si>
  <si>
    <t>Home Office Square Footage (exclusive business use)</t>
  </si>
  <si>
    <t>Business Use Percentage</t>
  </si>
  <si>
    <t>METHOD 1: SIMPLIFIED ($5/sq ft, max 300 sq ft = $1,500)</t>
  </si>
  <si>
    <t>Sq Ft Used (lesser of office or 300)</t>
  </si>
  <si>
    <t>Rate per Square Foot</t>
  </si>
  <si>
    <t>$5.00</t>
  </si>
  <si>
    <t>SIMPLIFIED METHOD DEDUCTION</t>
  </si>
  <si>
    <t>METHOD 2: REGULAR (Actual Expenses)</t>
  </si>
  <si>
    <t>Expense Type</t>
  </si>
  <si>
    <t>Total Amount</t>
  </si>
  <si>
    <t>Business %</t>
  </si>
  <si>
    <t>Deductible</t>
  </si>
  <si>
    <t>DIRECT EXPENSES (100% Deductible)</t>
  </si>
  <si>
    <t>Office repairs/maintenance</t>
  </si>
  <si>
    <t>100%</t>
  </si>
  <si>
    <t>Office painting/decorating</t>
  </si>
  <si>
    <t>Office-only equipment</t>
  </si>
  <si>
    <t>INDIRECT EXPENSES (Prorated by Business %)</t>
  </si>
  <si>
    <t>Mortgage Interest / Rent</t>
  </si>
  <si>
    <t>Property Taxes</t>
  </si>
  <si>
    <t>Homeowners/Renters Insurance</t>
  </si>
  <si>
    <t>HOA Fees</t>
  </si>
  <si>
    <t>Utilities (electric, gas, water)</t>
  </si>
  <si>
    <t>Trash/Recycling</t>
  </si>
  <si>
    <t>Home Security</t>
  </si>
  <si>
    <t>General Repairs</t>
  </si>
  <si>
    <t>Lawn/Snow Removal</t>
  </si>
  <si>
    <t>Pest Control</t>
  </si>
  <si>
    <t>DEPRECIATION CALCULATION (39-Year Nonresidential Property)</t>
  </si>
  <si>
    <t>Date Business Use Began:</t>
  </si>
  <si>
    <t>Month #:</t>
  </si>
  <si>
    <t>Home Purchase Price (or FMV at conversion)</t>
  </si>
  <si>
    <t>Less: Land Value (not depreciable, typically 15-20%)</t>
  </si>
  <si>
    <t>Building Value</t>
  </si>
  <si>
    <t>Plus: Capital Improvements</t>
  </si>
  <si>
    <t>Total Depreciable Basis</t>
  </si>
  <si>
    <t>Business Portion of Basis</t>
  </si>
  <si>
    <t>FIRST-YEAR DEPRECIATION (Mid-Month Convention)</t>
  </si>
  <si>
    <t>39-year property uses mid-month convention. First year % based on month placed in service:</t>
  </si>
  <si>
    <t>Month:</t>
  </si>
  <si>
    <t>First-Year %:</t>
  </si>
  <si>
    <t>Jan</t>
  </si>
  <si>
    <t>2.461%</t>
  </si>
  <si>
    <t>Jul</t>
  </si>
  <si>
    <t>1.177%</t>
  </si>
  <si>
    <t>Feb</t>
  </si>
  <si>
    <t>2.247%</t>
  </si>
  <si>
    <t>Aug</t>
  </si>
  <si>
    <t>0.963%</t>
  </si>
  <si>
    <t>Mar</t>
  </si>
  <si>
    <t>2.033%</t>
  </si>
  <si>
    <t>Sep</t>
  </si>
  <si>
    <t>0.749%</t>
  </si>
  <si>
    <t>Apr</t>
  </si>
  <si>
    <t>1.819%</t>
  </si>
  <si>
    <t>Oct</t>
  </si>
  <si>
    <t>0.535%</t>
  </si>
  <si>
    <t>May</t>
  </si>
  <si>
    <t>1.605%</t>
  </si>
  <si>
    <t>Nov</t>
  </si>
  <si>
    <t>0.321%</t>
  </si>
  <si>
    <t>Jun</t>
  </si>
  <si>
    <t>1.391%</t>
  </si>
  <si>
    <t>Dec</t>
  </si>
  <si>
    <t>0.107%</t>
  </si>
  <si>
    <t>First-Year Depreciation % (enter from table above)</t>
  </si>
  <si>
    <t>First-Year Depreciation Amount</t>
  </si>
  <si>
    <t>Full-Year Depreciation (Years 2-39)</t>
  </si>
  <si>
    <t>Current Year Depreciation (for Regular Method)</t>
  </si>
  <si>
    <t>(Enter first-year amount if Year 1, otherwise enter full-year amount)</t>
  </si>
  <si>
    <t>10-YEAR DEPRECIATION SCHEDULE</t>
  </si>
  <si>
    <t>Year</t>
  </si>
  <si>
    <t>Annual Depreciation</t>
  </si>
  <si>
    <t>Cumulative</t>
  </si>
  <si>
    <t>Remaining Basis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</si>
  <si>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</si>
  <si>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</si>
  <si>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</si>
  <si>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</si>
  <si>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</si>
  <si>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</si>
  <si>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</si>
  <si>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</si>
  <si>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</si>
  <si>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</si>
  <si>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⚠️ DEPRECIATION RECAPTURE ANALYSIS</t>
  </si>
  <si>
    <t>When you sell your home, depreciation taken must be 'recaptured' and taxed at 25%,</t>
  </si>
  <si>
    <t>even if you qualify for the capital gains exclusion on the rest of the gain.</t>
  </si>
  <si>
    <t>Years Using Regular Method (enter):</t>
  </si>
  <si>
    <t>Total Depreciation Taken (estimate)</t>
  </si>
  <si>
    <t>Estimated Recapture Tax (@ 25%)</t>
  </si>
  <si>
    <t>Total Deductions Taken (estimate)</t>
  </si>
  <si>
    <t>NET BENEFIT (Savings - Recapture)</t>
  </si>
  <si>
    <t>Note: If you plan to sell soon, Simplified Method avoids recapture entirely.</t>
  </si>
  <si>
    <t>REGULAR METHOD TOTAL (This Year)</t>
  </si>
  <si>
    <t>METHOD COMPARISON</t>
  </si>
  <si>
    <t>Simplified Method Deduction</t>
  </si>
  <si>
    <t>Regular Method Deduction</t>
  </si>
  <si>
    <t>Difference (Regular - Simplified)</t>
  </si>
  <si>
    <t>RECOMMENDED METHOD</t>
  </si>
  <si>
    <t>DEDUCTION TO CLAIM</t>
  </si>
  <si>
    <t>Consider: If Regular Method only slightly exceeds Simplified, the recapture</t>
  </si>
  <si>
    <t>risk may not be worth it. Review the Recapture Analysis above.</t>
  </si>
  <si>
    <t>Vehicle Deduction Worksheet</t>
  </si>
  <si>
    <t>Standard Mileage vs. Actual Expense Method Comparison</t>
  </si>
  <si>
    <t>⏱ Estimated Time: 30 min/week to maintain contemporaneous mileage log</t>
  </si>
  <si>
    <t>Driver Name:</t>
  </si>
  <si>
    <t>Period:</t>
  </si>
  <si>
    <t>Vehicle:</t>
  </si>
  <si>
    <t>License Plate:</t>
  </si>
  <si>
    <t>Date in Service:</t>
  </si>
  <si>
    <t>MILEAGE LOG</t>
  </si>
  <si>
    <t>2025: $0.70/mi</t>
  </si>
  <si>
    <t>#</t>
  </si>
  <si>
    <t>Destination</t>
  </si>
  <si>
    <t>Start Odo</t>
  </si>
  <si>
    <t>End Odo</t>
  </si>
  <si>
    <t>Miles</t>
  </si>
  <si>
    <t>Total Business Miles</t>
  </si>
  <si>
    <t>Personal Miles (enter manually)</t>
  </si>
  <si>
    <t>Total Miles</t>
  </si>
  <si>
    <t>METHOD 1: STANDARD MILEAGE</t>
  </si>
  <si>
    <t>METHOD 2: ACTUAL EXPENSES</t>
  </si>
  <si>
    <t>Business Miles</t>
  </si>
  <si>
    <t>Gas &amp; Oil</t>
  </si>
  <si>
    <t>× 2025 Rate</t>
  </si>
  <si>
    <t>$0.70</t>
  </si>
  <si>
    <t>Insurance</t>
  </si>
  <si>
    <t>STANDARD MILEAGE DEDUCTION</t>
  </si>
  <si>
    <t>Registration &amp; License</t>
  </si>
  <si>
    <t>Repairs &amp; Maintenance</t>
  </si>
  <si>
    <t>Tires</t>
  </si>
  <si>
    <t>Car Wash / Detailing</t>
  </si>
  <si>
    <t>Parking &amp; Tolls (business)</t>
  </si>
  <si>
    <t>Standard Mileage Deduction</t>
  </si>
  <si>
    <t>Loan Interest</t>
  </si>
  <si>
    <t>Actual Expense Deduction</t>
  </si>
  <si>
    <t>Lease Payments</t>
  </si>
  <si>
    <t>Total Actual Expenses</t>
  </si>
  <si>
    <t>VEHICLE DEPRECIATION</t>
  </si>
  <si>
    <t>Additional Savings from Best Method</t>
  </si>
  <si>
    <t>Vehicle Cost/Basis</t>
  </si>
  <si>
    <t>Depreciation Method</t>
  </si>
  <si>
    <t>MACRS 5-year</t>
  </si>
  <si>
    <t>Total Before Business %</t>
  </si>
  <si>
    <t>× Business Use %</t>
  </si>
  <si>
    <t>ACTUAL EXPENSE DEDUCTION</t>
  </si>
  <si>
    <t>Equipment &amp; Asset Purchases</t>
  </si>
  <si>
    <t>Section 179, Bonus &amp; MACRS Depreciation Calculator  |  Strategies #8, #11</t>
  </si>
  <si>
    <t>2025 DEPRECIATION LIMITS (OBBBA)</t>
  </si>
  <si>
    <t>• Heavy SUV (6,000-14,000 lbs): $31,300  |  Select Method per asset below  |  MACRS uses half-year convention</t>
  </si>
  <si>
    <t>METHOD GUIDE</t>
  </si>
  <si>
    <t>Sec. 179</t>
  </si>
  <si>
    <t>MACRS</t>
  </si>
  <si>
    <t>Spread over life using IRS rates (half-year). Preserve deductions for future. Type "MACRS".</t>
  </si>
  <si>
    <t>Straight-Line</t>
  </si>
  <si>
    <t>Even spread over life. Required for real property (27.5/39yr). Type "SL".</t>
  </si>
  <si>
    <t>MACRS YEAR 1 RATES (HALF-YEAR CONVENTION)</t>
  </si>
  <si>
    <t>Life</t>
  </si>
  <si>
    <t>3-Year</t>
  </si>
  <si>
    <t>5-Year</t>
  </si>
  <si>
    <t>7-Year</t>
  </si>
  <si>
    <t>15-Year</t>
  </si>
  <si>
    <t>27.5-Year*</t>
  </si>
  <si>
    <t>39-Year*</t>
  </si>
  <si>
    <t>Yr 1 Rate</t>
  </si>
  <si>
    <t>33.33%</t>
  </si>
  <si>
    <t>20.00%</t>
  </si>
  <si>
    <t>14.29%</t>
  </si>
  <si>
    <t>5.00%</t>
  </si>
  <si>
    <t>1.82%</t>
  </si>
  <si>
    <t>1.28%</t>
  </si>
  <si>
    <t>*27.5yr/39yr use mid-month convention. Rates assume month 1 placed in service.</t>
  </si>
  <si>
    <t>ASSET PURCHASE LOG</t>
  </si>
  <si>
    <t>Enter assets below. Blue cells = your input. Black cells = auto-calculated.</t>
  </si>
  <si>
    <t>Asset Description</t>
  </si>
  <si>
    <t>Date Acquired</t>
  </si>
  <si>
    <t>Cost / Basis</t>
  </si>
  <si>
    <t>Method</t>
  </si>
  <si>
    <t>Life (Yrs)</t>
  </si>
  <si>
    <t>Sec. 179 Amt</t>
  </si>
  <si>
    <t>Bonus Amt</t>
  </si>
  <si>
    <t>MACRS/SL Amt</t>
  </si>
  <si>
    <t>Total Year 1</t>
  </si>
  <si>
    <t>TOTALS</t>
  </si>
  <si>
    <t>SECTION 179 ELECTION SUMMARY</t>
  </si>
  <si>
    <t>DEPRECIATION SUMMARY</t>
  </si>
  <si>
    <t>Total Section 179 Elected</t>
  </si>
  <si>
    <t>Total Bonus Depreciation</t>
  </si>
  <si>
    <t>2025 Section 179 Limit</t>
  </si>
  <si>
    <t>Total MACRS / Straight-Line</t>
  </si>
  <si>
    <t>Remaining 179 Available</t>
  </si>
  <si>
    <t>Remaining Basis (Future Years)</t>
  </si>
  <si>
    <t>Note: Section 179 cannot exceed business taxable income (carryforward allowed).</t>
  </si>
  <si>
    <t>TOTAL FIRST-YEAR EQUIPMENT DEDUCTION</t>
  </si>
  <si>
    <t>COMMON ASSET RECOVERY PERIODS</t>
  </si>
  <si>
    <t>Asset Type</t>
  </si>
  <si>
    <t>MACRS Life</t>
  </si>
  <si>
    <t>Eligible Methods</t>
  </si>
  <si>
    <t>Software (off-the-shelf)</t>
  </si>
  <si>
    <t>3 years</t>
  </si>
  <si>
    <t>Computers &amp; Office Equipment</t>
  </si>
  <si>
    <t>5 years</t>
  </si>
  <si>
    <t>Vehicles (autos, light trucks)</t>
  </si>
  <si>
    <t>Office Furniture</t>
  </si>
  <si>
    <t>7 years</t>
  </si>
  <si>
    <t>Machinery &amp; Equipment</t>
  </si>
  <si>
    <t>5-7 years</t>
  </si>
  <si>
    <t>Leasehold Improvements (QIP)</t>
  </si>
  <si>
    <t>15 years</t>
  </si>
  <si>
    <t>Residential Rental Property</t>
  </si>
  <si>
    <t>27.5 years</t>
  </si>
  <si>
    <t>Commercial Property</t>
  </si>
  <si>
    <t>39 years</t>
  </si>
  <si>
    <t>HOW TO USE:</t>
  </si>
  <si>
    <t>1. Enter asset description, date, and cost (blue = your input)</t>
  </si>
  <si>
    <t>3. Enter Life in years (3, 5, 7, 15, 27.5, or 39)</t>
  </si>
  <si>
    <t>4. Adjust Business Use % if not 100% business</t>
  </si>
  <si>
    <t>Schedule E — Rental Property P&amp;L</t>
  </si>
  <si>
    <t>Rental Income &amp; Expenses  |  Strategies #36-43 (P5 Real Estate)</t>
  </si>
  <si>
    <t>P5 REAL ESTATE — Premium tier  |  Track rental activity for tax prep and identify P5 optimization opportunities</t>
  </si>
  <si>
    <t>PROPERTY INFORMATION</t>
  </si>
  <si>
    <t>Property 1</t>
  </si>
  <si>
    <t>Property 2</t>
  </si>
  <si>
    <t>Property 3</t>
  </si>
  <si>
    <t>Property 4</t>
  </si>
  <si>
    <t>Property Address</t>
  </si>
  <si>
    <t>Type (Res/Comm/STR)</t>
  </si>
  <si>
    <t>Building Basis</t>
  </si>
  <si>
    <t>Land Basis</t>
  </si>
  <si>
    <t>Total Cost Basis</t>
  </si>
  <si>
    <t>Useful Life (Yrs)</t>
  </si>
  <si>
    <t>Avg Days per Rental Stay</t>
  </si>
  <si>
    <t>Your Hours on Property</t>
  </si>
  <si>
    <t>RE Pro Candidate?</t>
  </si>
  <si>
    <t>Cost Seg Done? (Y/N)</t>
  </si>
  <si>
    <t>RENTAL INCOME</t>
  </si>
  <si>
    <t>TOTAL</t>
  </si>
  <si>
    <t>Rents Received</t>
  </si>
  <si>
    <t>Other Rental Income</t>
  </si>
  <si>
    <t>TOTAL INCOME</t>
  </si>
  <si>
    <t>RENTAL EXPENSES (Schedule E Lines)</t>
  </si>
  <si>
    <t>Advertising (Line 5)</t>
  </si>
  <si>
    <t>Auto &amp; Travel (Line 6)</t>
  </si>
  <si>
    <t>Cleaning &amp; Maintenance (Line 7)</t>
  </si>
  <si>
    <t>Commissions (Line 8)</t>
  </si>
  <si>
    <t>Insurance (Line 9)</t>
  </si>
  <si>
    <t>Legal &amp; Professional (Line 10)</t>
  </si>
  <si>
    <t>Management Fees (Line 11)</t>
  </si>
  <si>
    <t>Mortgage Interest (Line 12)</t>
  </si>
  <si>
    <t>Other Interest (Line 13)</t>
  </si>
  <si>
    <t>Repairs (Line 14)</t>
  </si>
  <si>
    <t>Supplies (Line 15)</t>
  </si>
  <si>
    <t>Taxes — Property (Line 16)</t>
  </si>
  <si>
    <t>Utilities (Line 17)</t>
  </si>
  <si>
    <t>Depreciation (Line 18)</t>
  </si>
  <si>
    <t>Other Expenses (Line 19)</t>
  </si>
  <si>
    <t>NET RENTAL INCOME (LOSS)</t>
  </si>
  <si>
    <t>Net Income (Loss)</t>
  </si>
  <si>
    <t>RENTAL DEPRECIATION CALCULATOR</t>
  </si>
  <si>
    <t>Calculate annual depreciation. Enter result in the Depreciation expense line above (Line 18).</t>
  </si>
  <si>
    <t>Building Basis (excl. land)</t>
  </si>
  <si>
    <t>Useful Life (Years)</t>
  </si>
  <si>
    <t>Method (SL or MACRS)</t>
  </si>
  <si>
    <t>With Cost Seg (30% reclassified)</t>
  </si>
  <si>
    <t>Additional Year 1 from Cost Seg</t>
  </si>
  <si>
    <t>P5 STRATEGY OPPORTUNITY FLAGS</t>
  </si>
  <si>
    <t>These flags help identify Premium-tier P5 strategies. Discuss with your advisor.</t>
  </si>
  <si>
    <t>#36 RE Pro Status</t>
  </si>
  <si>
    <t>Total hours:</t>
  </si>
  <si>
    <t>750+ hrs needed across all properties. If qualified, rental losses offset ordinary income.</t>
  </si>
  <si>
    <t>#37 Cost Segregation</t>
  </si>
  <si>
    <t>Est. Year 1 benefit:</t>
  </si>
  <si>
    <t>Engineering study reclassifies components to 5/7/15yr. With 100% bonus = massive Year 1 deduction.</t>
  </si>
  <si>
    <t>#38 STR Loophole</t>
  </si>
  <si>
    <t>Check avg days above</t>
  </si>
  <si>
    <t>If avg stay &lt;7 days AND you materially participate (100+ hrs), losses are NON-PASSIVE.</t>
  </si>
  <si>
    <t>#39 Self-Rental</t>
  </si>
  <si>
    <t>Rent property to your S-Corp? Income recharacterized as non-passive. Can unlock suspended PALs.</t>
  </si>
  <si>
    <t>#40 1031 Exchange</t>
  </si>
  <si>
    <t>Defer ALL capital gains by exchanging into like-kind property. 45-day ID / 180-day close.</t>
  </si>
  <si>
    <t>#41 Grouping Election</t>
  </si>
  <si>
    <t>Aggregate hours across multiple rentals for material participation. Group early.</t>
  </si>
  <si>
    <t>#43 Passive Loss Optimization</t>
  </si>
  <si>
    <t>Generate PIGs to unlock frozen PALs. Triple-net, equipment leasing, royalties.</t>
  </si>
  <si>
    <t>UPGRADE TO PREMIUM ($24,997) — IMPLEMENT ALL P5 STRATEGIES</t>
  </si>
  <si>
    <t>P5 strategies (#36-43) typically save $30,000-$150,000+. Your advisor implements RE Pro analysis, cost seg coordination, STR loophole, 1031 planning, and passive loss optimization.</t>
  </si>
  <si>
    <t>Eiduk Tax &amp; Wealth | 847-874-5299 | john@eiduktaxandwealth.com</t>
  </si>
  <si>
    <t>Cryptocurrency Tax Tracker</t>
  </si>
  <si>
    <t>P1 #7 / P2 #17  |  IRC §1001, §170, Notice 2014-21  |  Savings: $1,000-$50,000+</t>
  </si>
  <si>
    <t>⏱ Estimated Time: 4-10 hours to reconcile wallets and calculate cost basis</t>
  </si>
  <si>
    <t>#7 — CRYPTO DISPOSITIONS (Sales, Trades, Spending)</t>
  </si>
  <si>
    <t>⚠️ Every sale, trade, or spend of crypto is a taxable event. Use specific identification to select lots.</t>
  </si>
  <si>
    <t>Asset/Token</t>
  </si>
  <si>
    <t>Date Sold/Traded</t>
  </si>
  <si>
    <t>Quantity</t>
  </si>
  <si>
    <t>Proceeds ($)</t>
  </si>
  <si>
    <t>Cost Basis ($)</t>
  </si>
  <si>
    <t>Gain/(Loss)</t>
  </si>
  <si>
    <t>Holding Period</t>
  </si>
  <si>
    <t>Wash Sale?</t>
  </si>
  <si>
    <t>Tax Treatment</t>
  </si>
  <si>
    <t>💡 Note: As of 2025, crypto is NOT subject to wash sale rules. You can sell and immediately repurchase. Track for awareness if rules change.</t>
  </si>
  <si>
    <t>DISPOSITION SUMMARY</t>
  </si>
  <si>
    <t>Total Proceeds</t>
  </si>
  <si>
    <t>Net Gain/(Loss)</t>
  </si>
  <si>
    <t>Short-Term Gains</t>
  </si>
  <si>
    <t>Short-Term Losses</t>
  </si>
  <si>
    <t>Long-Term Gains</t>
  </si>
  <si>
    <t>Long-Term Losses</t>
  </si>
  <si>
    <t>#17 — MINING, STAKING &amp; DEFI INCOME</t>
  </si>
  <si>
    <t>💡 Mining/staking rewards = ordinary income at FMV when received. Mining equipment qualifies for Sec. 179 / bonus depreciation.</t>
  </si>
  <si>
    <t>Source</t>
  </si>
  <si>
    <t>Activity Type</t>
  </si>
  <si>
    <t>Token Received</t>
  </si>
  <si>
    <t>FMV at Receipt</t>
  </si>
  <si>
    <t>Total Value ($)</t>
  </si>
  <si>
    <t>Date Received</t>
  </si>
  <si>
    <t>Reported As</t>
  </si>
  <si>
    <t>Equipment Cost</t>
  </si>
  <si>
    <t>Depreciation Claimed</t>
  </si>
  <si>
    <t>Total Mining/DeFi Income</t>
  </si>
  <si>
    <t>Total Equipment Cost</t>
  </si>
  <si>
    <t>Total Depreciation Claimed</t>
  </si>
  <si>
    <t>#7 — CHARITABLE CRYPTO DONATIONS (Avoid Capital Gains + Get Deduction)</t>
  </si>
  <si>
    <t>💡 Donate appreciated crypto held &gt;1 year: deduct FMV, avoid capital gains entirely. Form 8283 required for donations &gt;$500.</t>
  </si>
  <si>
    <t>Token Donated</t>
  </si>
  <si>
    <t>Date Donated</t>
  </si>
  <si>
    <t>FMV at Donation ($)</t>
  </si>
  <si>
    <t>Gain Avoided</t>
  </si>
  <si>
    <t>Charity Name</t>
  </si>
  <si>
    <t>501(c)(3) EIN</t>
  </si>
  <si>
    <t>Form 8283?</t>
  </si>
  <si>
    <t>Total Charitable Deduction (FMV)</t>
  </si>
  <si>
    <t>Total Capital Gains Avoided</t>
  </si>
  <si>
    <t>COMBINED CRYPTO TAX SAVINGS (#7 + #17)</t>
  </si>
  <si>
    <t>Marginal Tax Rate:</t>
  </si>
  <si>
    <t>LTCG Rate:</t>
  </si>
  <si>
    <t>Loss Harvesting — Ordinary Offset</t>
  </si>
  <si>
    <t>Mining Equipment Depreciation (#17)</t>
  </si>
  <si>
    <t>Charitable Donation Deduction (#7)</t>
  </si>
  <si>
    <t>Capital Gains Tax Avoided (#7)</t>
  </si>
  <si>
    <t>TOTAL CRYPTO TAX SAVINGS</t>
  </si>
  <si>
    <t>FORMS REQUIRED</t>
  </si>
  <si>
    <t xml:space="preserve">  Form 8949 — Sales and Dispositions of Capital Assets (all crypto sales/trades)</t>
  </si>
  <si>
    <t xml:space="preserve">  Schedule D — Capital Gains and Losses summary</t>
  </si>
  <si>
    <t xml:space="preserve">  Form 8283 — Noncash Charitable Contributions (crypto donations &gt;$500)</t>
  </si>
  <si>
    <t xml:space="preserve">  Qualified Appraisal — Required for crypto donations &gt;$5,000</t>
  </si>
  <si>
    <t xml:space="preserve">  Schedule C / 1120-S — Mining income and expenses (if business activity)</t>
  </si>
  <si>
    <t xml:space="preserve">  Form 4562 — Depreciation (mining equipment Sec. 179 / bonus)</t>
  </si>
  <si>
    <t>Timing Strategies &amp; Capital Loss Harvesting</t>
  </si>
  <si>
    <t>P2 Strategy #15/15a  |  IRC §461, §451, §1091  |  Savings: $500-$10,000+</t>
  </si>
  <si>
    <t>⏱ Estimated Time: 3-6 hours for year-end analysis and documentation</t>
  </si>
  <si>
    <t>§15 — EXPENSE ACCELERATION (Prepay &amp; Purchase Before Year-End)</t>
  </si>
  <si>
    <t>⚡ Accelerate deductions into high-income years. Prepay up to 12 months of recurring expenses before Dec 31.</t>
  </si>
  <si>
    <t>Expense Description</t>
  </si>
  <si>
    <t>Vendor/Payee</t>
  </si>
  <si>
    <t>Normal Due Date</t>
  </si>
  <si>
    <t>Prepay Amount</t>
  </si>
  <si>
    <t>Months Prepaid</t>
  </si>
  <si>
    <t>Date Paid</t>
  </si>
  <si>
    <t>Check/Ref #</t>
  </si>
  <si>
    <t>Tax Savings</t>
  </si>
  <si>
    <t>Total Accelerated Expenses</t>
  </si>
  <si>
    <t>Marginal Tax Rate (for savings estimate):</t>
  </si>
  <si>
    <t>💡 Common prepayable expenses: Insurance premiums, rent, software subscriptions, professional memberships, continuing education.</t>
  </si>
  <si>
    <t>§15 — INCOME DEFERRAL (Delay Recognition to Next Year)</t>
  </si>
  <si>
    <t>⚠️ Constructive receipt: If income is available to you, it may be taxable even if not collected. Do not delay depositing checks already received.</t>
  </si>
  <si>
    <t>Income Source</t>
  </si>
  <si>
    <t>Client/Payer</t>
  </si>
  <si>
    <t>Original Due Date</t>
  </si>
  <si>
    <t>Amount Deferred</t>
  </si>
  <si>
    <t>Deferred To Date</t>
  </si>
  <si>
    <t>Total Deferred Income</t>
  </si>
  <si>
    <t>§15a — CAPITAL LOSS HARVESTING (Investment Gains/Losses)</t>
  </si>
  <si>
    <t>⚠️ WASH SALE RULE (§1091): Loss disallowed if you buy same or substantially identical security within 30 days before or after sale.</t>
  </si>
  <si>
    <t>Prior Year Loss Carryforward (from Schedule D):</t>
  </si>
  <si>
    <t>Security/Asset</t>
  </si>
  <si>
    <t>Date Sold</t>
  </si>
  <si>
    <t>Proceeds</t>
  </si>
  <si>
    <t>Cost Basis</t>
  </si>
  <si>
    <t>CAPITAL LOSS SUMMARY</t>
  </si>
  <si>
    <t>Short-term gains</t>
  </si>
  <si>
    <t>Short-term losses</t>
  </si>
  <si>
    <t>Long-term gains</t>
  </si>
  <si>
    <t>Long-term losses</t>
  </si>
  <si>
    <t>Net Short-Term Gain/(Loss)</t>
  </si>
  <si>
    <t>Net Long-Term Gain/(Loss)</t>
  </si>
  <si>
    <t>Prior Year Carryforward</t>
  </si>
  <si>
    <t>Net Capital Gain/(Loss)</t>
  </si>
  <si>
    <t>Ordinary Income Offset (max $3,000)</t>
  </si>
  <si>
    <t>Loss Carryforward to Next Year</t>
  </si>
  <si>
    <t>COMBINED TIMING STRATEGY SAVINGS</t>
  </si>
  <si>
    <t>Accelerated Expenses Tax Savings</t>
  </si>
  <si>
    <t>Deferred Income Tax Savings</t>
  </si>
  <si>
    <t>Capital Loss Tax Savings</t>
  </si>
  <si>
    <t>TOTAL §15 TIMING SAVINGS</t>
  </si>
  <si>
    <t>Health Insurance &amp; HSA Tracker</t>
  </si>
  <si>
    <t>S-Corp Health Insurance (P1 Strategy #2) + HSA Triple Tax (P3 Strategy #17)</t>
  </si>
  <si>
    <t>⏱ Estimated Time: 2-3 hours to set up + 30 min/quarter to update</t>
  </si>
  <si>
    <t>P1</t>
  </si>
  <si>
    <t>Foundation - S-Corp Health Insurance</t>
  </si>
  <si>
    <t>P3</t>
  </si>
  <si>
    <t>Retirement/Benefits - HSA</t>
  </si>
  <si>
    <t>S-CORP HEALTH INSURANCE (Strategy #2)</t>
  </si>
  <si>
    <t>2% shareholders can deduct health insurance premiums as an above-the-line deduction</t>
  </si>
  <si>
    <t>Insurance Provider:</t>
  </si>
  <si>
    <t>Policy Type (PPO/HMO/HDHP):</t>
  </si>
  <si>
    <t>Coverage Level:</t>
  </si>
  <si>
    <t>Monthly Premium:</t>
  </si>
  <si>
    <t>Annual Premium (add to W-2 Box 1):</t>
  </si>
  <si>
    <t>⚠️ W-2 REPORTING FOR &gt;2% S-CORP SHAREHOLDERS</t>
  </si>
  <si>
    <t>• Add annual premium to W-2 Box 1 (wages) - it IS subject to federal income tax</t>
  </si>
  <si>
    <t>• Do NOT include in Box 3 (Social Security wages) or Box 5 (Medicare wages)</t>
  </si>
  <si>
    <t>• The shareholder then deducts as above-the-line deduction on Form 1040</t>
  </si>
  <si>
    <t>• Net result: Deductible without paying FICA taxes on it</t>
  </si>
  <si>
    <t>HSA TRIPLE TAX STRATEGY (Strategy #17)</t>
  </si>
  <si>
    <t>Tax-free contributions + Tax-free growth + Tax-free withdrawals for medical expenses</t>
  </si>
  <si>
    <t>2025 HSA CONTRIBUTION LIMITS</t>
  </si>
  <si>
    <t>Self-Only Coverage</t>
  </si>
  <si>
    <t>Family Coverage</t>
  </si>
  <si>
    <t>Catch-Up Contribution (Age 55+)</t>
  </si>
  <si>
    <t>YOUR HSA TRACKING</t>
  </si>
  <si>
    <t>HSA Account Provider:</t>
  </si>
  <si>
    <t>HDHP Insurance Provider:</t>
  </si>
  <si>
    <t>Coverage Type:</t>
  </si>
  <si>
    <t>Age 55 or Older?</t>
  </si>
  <si>
    <t>Your Maximum Contribution:</t>
  </si>
  <si>
    <t>YTD Contributions:</t>
  </si>
  <si>
    <t>Remaining Contribution Room:</t>
  </si>
  <si>
    <t>HSA TRIPLE TAX BENEFIT</t>
  </si>
  <si>
    <t>1. Tax-Free Contributions</t>
  </si>
  <si>
    <t>Contributions reduce taxable income (above-the-line deduction)</t>
  </si>
  <si>
    <t>2. Tax-Free Growth</t>
  </si>
  <si>
    <t>Investment earnings grow tax-free inside the HSA</t>
  </si>
  <si>
    <t>3. Tax-Free Withdrawals</t>
  </si>
  <si>
    <t>No tax when used for qualified medical expenses</t>
  </si>
  <si>
    <t>HSA ELIGIBILITY REQUIREMENTS</t>
  </si>
  <si>
    <t>□ Must be enrolled in a High Deductible Health Plan (HDHP)</t>
  </si>
  <si>
    <t>□ 2025 HDHP minimum deductible: $1,650 (self) / $3,300 (family)</t>
  </si>
  <si>
    <t>□ 2025 HDHP max out-of-pocket: $8,300 (self) / $16,600 (family)</t>
  </si>
  <si>
    <t>□ Cannot be enrolled in Medicare</t>
  </si>
  <si>
    <t>□ Cannot be claimed as a dependent on someone else's tax return</t>
  </si>
  <si>
    <t>□ Cannot have other health coverage (except permitted insurance)</t>
  </si>
  <si>
    <t>⚠️ S-CORP HSA CONTRIBUTION NOTE</t>
  </si>
  <si>
    <t>For &gt;2% S-Corp shareholders, the S-Corp CANNOT make pre-tax HSA contributions.</t>
  </si>
  <si>
    <t>Instead: S-Corp pays shareholder additional compensation → Shareholder contributes to HSA personally</t>
  </si>
  <si>
    <t>→ Shareholder deducts HSA contribution as above-the-line deduction on Form 1040</t>
  </si>
  <si>
    <t>Net result is similar, but requires proper payroll treatment.</t>
  </si>
  <si>
    <t>ESTIMATED TAX SAVINGS</t>
  </si>
  <si>
    <t>Health Insurance Deduction</t>
  </si>
  <si>
    <t>HSA Contribution</t>
  </si>
  <si>
    <t>Total Health-Related Deductions</t>
  </si>
  <si>
    <t>(Plus FICA savings of 15.3% on health insurance if done correctly)</t>
  </si>
  <si>
    <t>14-Day Tax-Free Rental Tracker</t>
  </si>
  <si>
    <t>IRC §280A(g) - Rental Income Exclusion</t>
  </si>
  <si>
    <t>⏱ Estimated Time: 3-5 hours per rental event (FMV research, rental agreement, corporate minutes)</t>
  </si>
  <si>
    <t>⚠️ TAX-FREE RENTAL RULE</t>
  </si>
  <si>
    <t>If you rent your home (or vacation property) for 14 days or fewer per year, ALL rental income is 100% tax-free.</t>
  </si>
  <si>
    <t>Common uses: Rent home to your S-Corp for board meetings, client events, or business retreats.</t>
  </si>
  <si>
    <t>Property Owner:</t>
  </si>
  <si>
    <t>Property Address:</t>
  </si>
  <si>
    <t>Renting Entity (S-Corp):</t>
  </si>
  <si>
    <t>FAIR RENTAL VALUE DETERMINATION</t>
  </si>
  <si>
    <t>Document comparable rentals (VRBO, Airbnb, hotels) to support daily rate</t>
  </si>
  <si>
    <t>Comparable #1</t>
  </si>
  <si>
    <t>Daily Rate:</t>
  </si>
  <si>
    <t>Comparable #2</t>
  </si>
  <si>
    <t>Comparable #3</t>
  </si>
  <si>
    <t>Fair Market Daily Rental Rate</t>
  </si>
  <si>
    <t>RENTAL DAY LOG (Maximum 14 Days)</t>
  </si>
  <si>
    <t>Business Purpose / Event</t>
  </si>
  <si>
    <t>Hours Used</t>
  </si>
  <si>
    <t>Daily Rate</t>
  </si>
  <si>
    <t>TOTAL DAYS USED</t>
  </si>
  <si>
    <t>Days Remaining (of 14)</t>
  </si>
  <si>
    <t>TOTAL TAX-FREE RENTAL INCOME</t>
  </si>
  <si>
    <t>⚠️ If days exceed 14, ALL rental income becomes taxable. Track carefully!</t>
  </si>
  <si>
    <t>REQUIRED DOCUMENTATION</t>
  </si>
  <si>
    <t>□ Written rental agreement between property owner and S-Corp</t>
  </si>
  <si>
    <t>□ Board resolution or meeting minutes documenting business purpose</t>
  </si>
  <si>
    <t>□ Comparable rental rate documentation (screenshots, listings)</t>
  </si>
  <si>
    <t>□ Photos of event/meeting setup</t>
  </si>
  <si>
    <t>□ Attendee list and agenda for each rental day</t>
  </si>
  <si>
    <t>□ Payment records (check, ACH) from S-Corp to owner</t>
  </si>
  <si>
    <t>Family Employment Tracker</t>
  </si>
  <si>
    <t>Child/Family Employee Time &amp; Wage Documentation</t>
  </si>
  <si>
    <t>⏱ Estimated Time: 4-8 hours initial setup + 1 hr/pay period for ongoing records</t>
  </si>
  <si>
    <t>💰 TAX BENEFITS OF FAMILY EMPLOYMENT</t>
  </si>
  <si>
    <t>• 2025 Standard Deduction: $15,000 - child pays $0 federal tax on first $15,000 of earned income</t>
  </si>
  <si>
    <t>• Roth IRA Eligible: Child can contribute up to $7,000/year (or 100% of earned income if less)</t>
  </si>
  <si>
    <t>• Business Deduction: Wages are fully deductible expense for the S-Corp</t>
  </si>
  <si>
    <t>• ⚠️ S-Corp Note: FICA taxes (7.65%) apply regardless of child's age (unlike sole proprietorship)</t>
  </si>
  <si>
    <t>EMPLOYEE INFORMATION</t>
  </si>
  <si>
    <t>Date of Birth:</t>
  </si>
  <si>
    <t>SSN:</t>
  </si>
  <si>
    <t>Date Hired:</t>
  </si>
  <si>
    <t>Job Title:</t>
  </si>
  <si>
    <t>Hourly Rate:</t>
  </si>
  <si>
    <t>Supervisor:</t>
  </si>
  <si>
    <t>Pay Frequency:</t>
  </si>
  <si>
    <t>JOB DESCRIPTION (Age-Appropriate Duties)</t>
  </si>
  <si>
    <t>Primary Duties:</t>
  </si>
  <si>
    <t>Common Age-Appropriate Tasks:</t>
  </si>
  <si>
    <t>Ages 7-11: Filing, shredding, cleaning office, organizing supplies, stuffing envelopes</t>
  </si>
  <si>
    <t>Ages 12-15: Data entry, answering phones, social media posting, inventory, customer follow-up</t>
  </si>
  <si>
    <t>Ages 16-17: Bookkeeping assistance, customer service, website updates, marketing support</t>
  </si>
  <si>
    <t>Ages 18+: Full administrative duties, client communication, project management</t>
  </si>
  <si>
    <t>REASONABLE COMPENSATION DOCUMENTATION</t>
  </si>
  <si>
    <t>Document comparable rates to support hourly wage (Indeed, Glassdoor, local job postings)</t>
  </si>
  <si>
    <t>Rate:</t>
  </si>
  <si>
    <t>Approved Hourly Rate</t>
  </si>
  <si>
    <t>TIME LOG - PAY PERIOD: ________________</t>
  </si>
  <si>
    <t>Start</t>
  </si>
  <si>
    <t>End</t>
  </si>
  <si>
    <t>Hours</t>
  </si>
  <si>
    <t>Tasks Performed</t>
  </si>
  <si>
    <t>Supervisor</t>
  </si>
  <si>
    <t>Pay</t>
  </si>
  <si>
    <t>PERIOD TOTALS</t>
  </si>
  <si>
    <t>Total Pay:</t>
  </si>
  <si>
    <t>ANNUAL SUMMARY</t>
  </si>
  <si>
    <t>Total Hours Worked (YTD)</t>
  </si>
  <si>
    <t>ROTH IRA OPPORTUNITY</t>
  </si>
  <si>
    <t>Total Wages Paid (YTD)</t>
  </si>
  <si>
    <t>Max Roth Contribution:</t>
  </si>
  <si>
    <t>FICA Tax (7.65% employer portion)</t>
  </si>
  <si>
    <t>If contributed, grows 100% tax-free!</t>
  </si>
  <si>
    <t>Net Business Deduction</t>
  </si>
  <si>
    <t>REQUIRED DOCUMENTATION CHECKLIST</t>
  </si>
  <si>
    <t>□ Written job description signed by employee</t>
  </si>
  <si>
    <t>□ W-4 on file</t>
  </si>
  <si>
    <t>□ I-9 completed (if applicable)</t>
  </si>
  <si>
    <t>□ Time sheets signed by employee and supervisor</t>
  </si>
  <si>
    <t>□ Comparable rate documentation (job postings, salary surveys)</t>
  </si>
  <si>
    <t>□ Payment records (check copies, direct deposit confirmations)</t>
  </si>
  <si>
    <t>□ Payroll records (pay stubs, W-2 at year end)</t>
  </si>
  <si>
    <t>⚠️ STATE LABOR LAW REMINDERS</t>
  </si>
  <si>
    <t>Check your state's child labor laws for: minimum age, maximum hours, prohibited tasks, work permit requirements</t>
  </si>
  <si>
    <t>Illinois: Under 16 - max 3 hrs school days, 8 hrs non-school days, 24 hrs/week during school</t>
  </si>
  <si>
    <t>CERTIFICATION</t>
  </si>
  <si>
    <t>I certify that the hours and tasks documented above are accurate and reflect actual work performed.</t>
  </si>
  <si>
    <t>Supervisor Signature: _________________________  Date: ___________</t>
  </si>
  <si>
    <t>Family Employment Company &amp; Board of Advisors</t>
  </si>
  <si>
    <t>P2 Strategy #16/16a  |  IRC §162, §482  |  Savings: $5,000-$25,000+</t>
  </si>
  <si>
    <t>⏱ Estimated Time: 6-10 hours to form entity + 2 hrs/quarter for advisory meetings</t>
  </si>
  <si>
    <t>#16 — FAMILY EMPLOYMENT COMPANY (Management Fee Income Splitting)</t>
  </si>
  <si>
    <t>💡 A separate entity provides management services to your operating company. Fees shift income to lower-bracket family members.</t>
  </si>
  <si>
    <t>FAMILY ENTITY DETAILS</t>
  </si>
  <si>
    <t>Entity Name:</t>
  </si>
  <si>
    <t>Date Formed:</t>
  </si>
  <si>
    <t>State of Formation:</t>
  </si>
  <si>
    <t>OWNERSHIP &amp; ALLOCATION</t>
  </si>
  <si>
    <t>Owner Name</t>
  </si>
  <si>
    <t>Relationship</t>
  </si>
  <si>
    <t>Ownership %</t>
  </si>
  <si>
    <t>Tax Bracket</t>
  </si>
  <si>
    <t>Allocated Income</t>
  </si>
  <si>
    <t>Total Ownership</t>
  </si>
  <si>
    <t>MANAGEMENT FEE LOG</t>
  </si>
  <si>
    <t>Month/Quarter</t>
  </si>
  <si>
    <t>Services Provided</t>
  </si>
  <si>
    <t>Hourly Rate</t>
  </si>
  <si>
    <t>Fee Amount</t>
  </si>
  <si>
    <t>Invoice #</t>
  </si>
  <si>
    <t>Total Management Fees</t>
  </si>
  <si>
    <t>Owner Marginal Rate (without splitting):</t>
  </si>
  <si>
    <t>Avg. Family Member Rate:</t>
  </si>
  <si>
    <t>Estimated Tax Savings (Income Splitting)</t>
  </si>
  <si>
    <t>📋 IRS REQUIREMENT: Document comparable third-party rates for similar services. Keep management agreement, invoices, and payment records.</t>
  </si>
  <si>
    <t>#16a — BOARD OF ADVISORS (Advisory Fee Income Shifting)</t>
  </si>
  <si>
    <t>💡 Pay advisory fees to family members with relevant expertise. Fees are deductible to S-Corp and not subject to FICA. Issue 1099-NEC for $600+.</t>
  </si>
  <si>
    <t>Advisor Name</t>
  </si>
  <si>
    <t>Area of Expertise</t>
  </si>
  <si>
    <t>Hours/Year</t>
  </si>
  <si>
    <t>Annual Fee</t>
  </si>
  <si>
    <t>1099 Required?</t>
  </si>
  <si>
    <t>Total Advisory Fees</t>
  </si>
  <si>
    <t>Advisors Requiring 1099-NEC:</t>
  </si>
  <si>
    <t>BOARD MEETING LOG</t>
  </si>
  <si>
    <t>Meeting Date</t>
  </si>
  <si>
    <t>Duration (hrs)</t>
  </si>
  <si>
    <t>Location</t>
  </si>
  <si>
    <t>Attendees</t>
  </si>
  <si>
    <t>Topics Discussed</t>
  </si>
  <si>
    <t>Minutes Filed?</t>
  </si>
  <si>
    <t>Total Meetings</t>
  </si>
  <si>
    <t>Total Hours:</t>
  </si>
  <si>
    <t>💡 AUGUSTA RULE SYNERGY: If meetings held at your home, combine with Strategy #4 for additional tax-free rental income deduction.</t>
  </si>
  <si>
    <t>COMBINED #16/#16a SAVINGS</t>
  </si>
  <si>
    <t>Family Employment Company Savings (#16)</t>
  </si>
  <si>
    <t>Board of Advisors Deduction (#16a)</t>
  </si>
  <si>
    <t>Advisor Tax Savings (at owner rate)</t>
  </si>
  <si>
    <t>TOTAL #16 + #16a TAX SAVINGS</t>
  </si>
  <si>
    <t>IRS DOCUMENTATION CHECKLIST</t>
  </si>
  <si>
    <t>☐ Written management services agreement between entities</t>
  </si>
  <si>
    <t>☐ Comparable third-party rate documentation</t>
  </si>
  <si>
    <t>☐ Monthly/quarterly invoices from family entity</t>
  </si>
  <si>
    <t>☐ Separate bank account for family entity</t>
  </si>
  <si>
    <t>☐ Board of Advisors charter/engagement letters</t>
  </si>
  <si>
    <t>☐ Meeting agendas, minutes, and attendance records</t>
  </si>
  <si>
    <t>☐ 1099-NEC issued to advisors receiving $600+</t>
  </si>
  <si>
    <t>☐ Family entity tax return filed (1065 or 1120-S)</t>
  </si>
  <si>
    <t>2025 Estimated Tax Calculator</t>
  </si>
  <si>
    <t>See the real-time impact of every Eiduk Pathway™ strategy on your estimated tax liability</t>
  </si>
  <si>
    <t>⏱ Estimated Time: 2-3 hours initial setup + 30 min/quarter to update  |  Links automatically to your other worksheets</t>
  </si>
  <si>
    <t>FILING INFORMATION</t>
  </si>
  <si>
    <t>PRIOR YEAR (for Safe Harbor)</t>
  </si>
  <si>
    <t>Filing Status:</t>
  </si>
  <si>
    <t>Married Filing Jointly</t>
  </si>
  <si>
    <t>Prior Year Total Tax (1040 Line 24):</t>
  </si>
  <si>
    <t>Prior Year AGI &gt; $150K?</t>
  </si>
  <si>
    <t>Yes</t>
  </si>
  <si>
    <t>(If Yes, safe harbor = 110% of prior year tax)</t>
  </si>
  <si>
    <t>State:</t>
  </si>
  <si>
    <t>IL</t>
  </si>
  <si>
    <t>110% Safe Harbor Amount:</t>
  </si>
  <si>
    <t>S-Corp</t>
  </si>
  <si>
    <t>"S-Corp" or "Sole Prop" — affects SE tax calc</t>
  </si>
  <si>
    <t>INCOME</t>
  </si>
  <si>
    <t>W-2 Wages (you + spouse)</t>
  </si>
  <si>
    <t>Enter total from all W-2s</t>
  </si>
  <si>
    <t xml:space="preserve">  Federal Tax Withheld (from W-2s)</t>
  </si>
  <si>
    <t>Box 2 of all W-2s (used in payments section)</t>
  </si>
  <si>
    <t>Business / Self-Employment Income (net)</t>
  </si>
  <si>
    <t>Schedule C net profit or S-Corp K-1 income</t>
  </si>
  <si>
    <t xml:space="preserve">  S-Corp Officer Compensation (W-2)</t>
  </si>
  <si>
    <t>Reasonable comp (subject to FICA)</t>
  </si>
  <si>
    <t>Interest Income</t>
  </si>
  <si>
    <t>1099-INT (bank accounts, CDs, bonds)</t>
  </si>
  <si>
    <t>Dividend Income</t>
  </si>
  <si>
    <t>1099-DIV (qualified dividends taxed at lower rate)</t>
  </si>
  <si>
    <t xml:space="preserve">  of which Qualified Dividends:</t>
  </si>
  <si>
    <t>Taxed at 0%/15%/20% capital gains rates</t>
  </si>
  <si>
    <t>Net Capital Gains / (Losses)</t>
  </si>
  <si>
    <t>From Schedule D (max $3,000 loss deductible)</t>
  </si>
  <si>
    <t>Rental Income / (Loss)</t>
  </si>
  <si>
    <t>← auto</t>
  </si>
  <si>
    <t>Net rental income (loss) from Schedule E</t>
  </si>
  <si>
    <t>Other Income (1099-MISC, K-1, etc.)</t>
  </si>
  <si>
    <t>Incl. Roth conversions, K-1s, estates, trusts, misc</t>
  </si>
  <si>
    <t>Augusta Rule Tax-Free Income (#4)</t>
  </si>
  <si>
    <t>Tax-free — NOT included in taxable income</t>
  </si>
  <si>
    <t>TOTAL GROSS INCOME</t>
  </si>
  <si>
    <t>(Excludes tax-free Augusta Rule income)</t>
  </si>
  <si>
    <t>ADJUSTMENTS TO INCOME (Above-the-Line)</t>
  </si>
  <si>
    <t>Self-Employment Tax Deduction (50%)</t>
  </si>
  <si>
    <t>Calculated: 50% of SE tax</t>
  </si>
  <si>
    <t>S-Corp Health Insurance Deduction (#2)</t>
  </si>
  <si>
    <t>From Health &amp; HSA sheet</t>
  </si>
  <si>
    <t>HSA Contributions (#22)</t>
  </si>
  <si>
    <t>Pre-Tax Retirement Contributions (#18-28)</t>
  </si>
  <si>
    <t>401(k), SEP-IRA, Cash Balance, etc.</t>
  </si>
  <si>
    <t>Traditional IRA Deduction</t>
  </si>
  <si>
    <t>If eligible (income limits apply if covered by plan)</t>
  </si>
  <si>
    <t>Student Loan Interest</t>
  </si>
  <si>
    <t>Max $2,500 (phases out at higher AGI)</t>
  </si>
  <si>
    <t>Other Above-the-Line Adjustments</t>
  </si>
  <si>
    <t>Educator expenses, alimony paid, etc.</t>
  </si>
  <si>
    <t>TOTAL ADJUSTMENTS</t>
  </si>
  <si>
    <t>ADJUSTED GROSS INCOME (AGI)</t>
  </si>
  <si>
    <t>DEDUCTIONS</t>
  </si>
  <si>
    <t>Choose One ↓</t>
  </si>
  <si>
    <t>Standard Deduction (2025)</t>
  </si>
  <si>
    <t>Auto-calculated from filing status</t>
  </si>
  <si>
    <t>Use Standard?</t>
  </si>
  <si>
    <t>Itemized Deductions (if greater):</t>
  </si>
  <si>
    <t xml:space="preserve">  State &amp; Local Taxes (SALT)</t>
  </si>
  <si>
    <t>Capped at $40,000 for federal (OBBA)</t>
  </si>
  <si>
    <t xml:space="preserve">  Mortgage Interest</t>
  </si>
  <si>
    <t>1098 (up to $750K mortgage)</t>
  </si>
  <si>
    <t xml:space="preserve">  Charitable Contributions</t>
  </si>
  <si>
    <t>Cash + non-cash donations</t>
  </si>
  <si>
    <t xml:space="preserve">  Total Medical Expenses Paid</t>
  </si>
  <si>
    <t>Enter total medical; 7.5% AGI floor applied in total</t>
  </si>
  <si>
    <t xml:space="preserve">  Other Itemized Deductions</t>
  </si>
  <si>
    <t>Casualty losses, gambling losses, etc.</t>
  </si>
  <si>
    <t>Total Itemized Deductions</t>
  </si>
  <si>
    <t>DEDUCTION APPLIED</t>
  </si>
  <si>
    <t>EIDUK PATHWAY™ BUSINESS DEDUCTIONS (Auto-Linked)</t>
  </si>
  <si>
    <t>Source Sheet</t>
  </si>
  <si>
    <t>#3  Accountable Plan Expenses</t>
  </si>
  <si>
    <t>#8  Equipment — §179 / Bonus Depreciation</t>
  </si>
  <si>
    <t>#9  Home Office Deduction</t>
  </si>
  <si>
    <t>#10-11  Vehicle / Mileage Deduction</t>
  </si>
  <si>
    <t>#15  Timing &amp; Loss Harvest Savings</t>
  </si>
  <si>
    <t>#16  Family Co &amp; Advisory Board Fees</t>
  </si>
  <si>
    <t>#6  Family Employment Wages</t>
  </si>
  <si>
    <t>TOTAL PATHWAY™ BUSINESS DEDUCTIONS</t>
  </si>
  <si>
    <t>These reduce your business income before tax</t>
  </si>
  <si>
    <t>QUALIFIED BUSINESS INCOME DEDUCTION (§199A)</t>
  </si>
  <si>
    <t>QBI Deduction (20% of qualified business income)</t>
  </si>
  <si>
    <t>Limited to 20% of taxable income before QBI</t>
  </si>
  <si>
    <t>TAXABLE INCOME</t>
  </si>
  <si>
    <t>FEDERAL TAX CALCULATION</t>
  </si>
  <si>
    <t>Tax</t>
  </si>
  <si>
    <t>Brackets adjust based on Filing Status (B6)</t>
  </si>
  <si>
    <t>2025 MFJ Brackets</t>
  </si>
  <si>
    <t>Bracket</t>
  </si>
  <si>
    <t>Upper Limit</t>
  </si>
  <si>
    <t xml:space="preserve">  10% Bracket</t>
  </si>
  <si>
    <t xml:space="preserve">  12% Bracket</t>
  </si>
  <si>
    <t xml:space="preserve">  22% Bracket</t>
  </si>
  <si>
    <t xml:space="preserve">  24% Bracket</t>
  </si>
  <si>
    <t xml:space="preserve">  32% Bracket</t>
  </si>
  <si>
    <t xml:space="preserve">  35% Bracket</t>
  </si>
  <si>
    <t xml:space="preserve">  37% Bracket</t>
  </si>
  <si>
    <t>No limit</t>
  </si>
  <si>
    <t>FEDERAL INCOME TAX</t>
  </si>
  <si>
    <t>SELF-EMPLOYMENT TAX</t>
  </si>
  <si>
    <t>S-Corp: FICA on W-2; Sole Prop: SE on biz income</t>
  </si>
  <si>
    <t>Additional Medicare Tax (0.9%)</t>
  </si>
  <si>
    <t>On earned income &gt; $250K (MFJ)</t>
  </si>
  <si>
    <t>Net Investment Income Tax (3.8%)</t>
  </si>
  <si>
    <t>3.8% on investment income if AGI &gt; $250K (MFJ)</t>
  </si>
  <si>
    <t>STATE INCOME TAX</t>
  </si>
  <si>
    <t>State Tax Rate:</t>
  </si>
  <si>
    <t>IL flat rate = 4.95%. Change for your state.</t>
  </si>
  <si>
    <t>Estimated State Tax</t>
  </si>
  <si>
    <t>Simplified estimate (state rules vary)</t>
  </si>
  <si>
    <t>TOTAL ESTIMATED TAX LIABILITY</t>
  </si>
  <si>
    <t>CREDITS &amp; PAYMENTS ALREADY MADE</t>
  </si>
  <si>
    <t>Federal Tax Withheld (W-2 Box 2)</t>
  </si>
  <si>
    <t>Linked from income section above</t>
  </si>
  <si>
    <t>Q1 Estimated Payment (Apr 15)</t>
  </si>
  <si>
    <t>Q2 Estimated Payment (Jun 16)</t>
  </si>
  <si>
    <t>Q3 Estimated Payment (Sep 15)</t>
  </si>
  <si>
    <t>Q4 Estimated Payment (Jan 15, 2026)</t>
  </si>
  <si>
    <t>Tax Credits (Child, Education, Energy, etc.)</t>
  </si>
  <si>
    <t>Enter estimated total credits</t>
  </si>
  <si>
    <t>TOTAL CREDITS &amp; PAYMENTS</t>
  </si>
  <si>
    <t>ESTIMATED BALANCE DUE / (REFUND)</t>
  </si>
  <si>
    <t>Effective Federal Tax Rate:</t>
  </si>
  <si>
    <t>Federal income tax ÷ gross income</t>
  </si>
  <si>
    <t>Total Effective Tax Rate (all taxes):</t>
  </si>
  <si>
    <t>All taxes (federal + SE + state) ÷ gross income</t>
  </si>
  <si>
    <t>Marginal Tax Bracket:</t>
  </si>
  <si>
    <t>Your highest federal bracket</t>
  </si>
  <si>
    <t>💰 EIDUK PATHWAY™ TAX SAVINGS IMPACT</t>
  </si>
  <si>
    <t>Total Pathway™ Business Deductions:</t>
  </si>
  <si>
    <t>Pathway™ Above-the-Line Deductions:</t>
  </si>
  <si>
    <t>(Health Ins + HSA + Retirement)</t>
  </si>
  <si>
    <t>Estimated Federal Tax Savings:</t>
  </si>
  <si>
    <t>Deductions × your marginal rate</t>
  </si>
  <si>
    <t>SE Tax Savings (Augusta Rule + Family Employment):</t>
  </si>
  <si>
    <t>FICA avoided on excluded income</t>
  </si>
  <si>
    <t>Estimated State Tax Savings:</t>
  </si>
  <si>
    <t>TOTAL ESTIMATED TAX SAVINGS FROM PATHWAY™</t>
  </si>
  <si>
    <t>💡 Roth Conversion: To model the tax impact, enter your potential conversion amount in C20 (Other Income). This flows through to AGI and updates your estimated tax automatically.</t>
  </si>
  <si>
    <t>2025 QUARTERLY ESTIMATED TAX PAYMENT SCHEDULE</t>
  </si>
  <si>
    <t>Due Date</t>
  </si>
  <si>
    <t>Amount Due</t>
  </si>
  <si>
    <t>Paid?</t>
  </si>
  <si>
    <t>Q1 (Jan 1 – Mar 31)</t>
  </si>
  <si>
    <t>No</t>
  </si>
  <si>
    <t>Q2 (Apr 1 – May 31)</t>
  </si>
  <si>
    <t>Q3 (Jun 1 – Aug 31)</t>
  </si>
  <si>
    <t>Q4 (Sep 1 – Dec 31)</t>
  </si>
  <si>
    <t>⚠️ SAFE HARBOR:</t>
  </si>
  <si>
    <t>To avoid underpayment penalties, pay the LESSER of: (1) 90% of current year tax, or (2) 100%/110% of prior year tax (110% if AGI &gt; $150K).</t>
  </si>
  <si>
    <t>Your Safe Harbor Minimum:</t>
  </si>
  <si>
    <t>This calculator provides estimates only. Actual tax liability may differ. Consult your tax advisor for personalized guidance.</t>
  </si>
  <si>
    <t>Annual Tax Savings Summary</t>
  </si>
  <si>
    <t>The Eiduk Pathway™ DIY Toolkit  |  Consolidated Totals for Tax Preparation</t>
  </si>
  <si>
    <t>⏱ Estimated Time: 2-4 hours for year-end consolidation and tax prep review</t>
  </si>
  <si>
    <t>Taxpayer/Business:</t>
  </si>
  <si>
    <t>P1 — FOUNDATION (#1-7)</t>
  </si>
  <si>
    <t>Tax-free reimbursement to shareholder</t>
  </si>
  <si>
    <t>#4  Augusta Rule (14-Day Rental)</t>
  </si>
  <si>
    <t>Tax-free rental income</t>
  </si>
  <si>
    <t>Deductible wages to children</t>
  </si>
  <si>
    <t>#7  Crypto Tax Savings</t>
  </si>
  <si>
    <t>Loss harvest + donations + mining depreciation</t>
  </si>
  <si>
    <t>P1 SUBTOTAL</t>
  </si>
  <si>
    <t>P2 — CORE DEDUCTIONS (#8-17)</t>
  </si>
  <si>
    <t>#8  Equipment — Sec. 179 / Bonus Depreciation</t>
  </si>
  <si>
    <t>First-year deduction on business assets</t>
  </si>
  <si>
    <t>Recommended method amount</t>
  </si>
  <si>
    <t>Best method deduction</t>
  </si>
  <si>
    <t>#15  Timing Strategy Savings</t>
  </si>
  <si>
    <t>Expense accel. + income deferral + loss harvest</t>
  </si>
  <si>
    <t>#16  Family Employment Company Fees</t>
  </si>
  <si>
    <t>Deductible management fees to family entity</t>
  </si>
  <si>
    <t>#16a  Board of Advisors Fees</t>
  </si>
  <si>
    <t>Deductible advisory fees</t>
  </si>
  <si>
    <t>P2 SUBTOTAL</t>
  </si>
  <si>
    <t>P3 — RETIREMENT &amp; BENEFITS (#2, #18-28)</t>
  </si>
  <si>
    <t>#2  S-Corp Health Insurance Deduction</t>
  </si>
  <si>
    <t>Above-the-line deduction (1040 Line 17)</t>
  </si>
  <si>
    <t>#22  HSA Contributions</t>
  </si>
  <si>
    <t>#18-28  Pre-Tax Retirement Contributions</t>
  </si>
  <si>
    <t>Reduces current-year taxable income</t>
  </si>
  <si>
    <t>#18-28  Roth/Post-Tax Contributions</t>
  </si>
  <si>
    <t>Tax-free growth (not a current deduction)</t>
  </si>
  <si>
    <t>P3 SUBTOTAL (Deductible Only)</t>
  </si>
  <si>
    <t>Roth excluded (not current deduction)</t>
  </si>
  <si>
    <t>P5 — REAL ESTATE &amp; PAL (#36-43)</t>
  </si>
  <si>
    <t>Net Rental Income / (Loss)</t>
  </si>
  <si>
    <t>Net from Schedule E (4 properties)</t>
  </si>
  <si>
    <t>Cost Seg Year 1 Additional</t>
  </si>
  <si>
    <t>Additional depreciation from cost seg</t>
  </si>
  <si>
    <t>P5 SUBTOTAL (Net Rental Impact)</t>
  </si>
  <si>
    <t>TOTAL TAX DEDUCTIONS</t>
  </si>
  <si>
    <t>P1 Foundation</t>
  </si>
  <si>
    <t>P2 Core Deductions</t>
  </si>
  <si>
    <t>P3 Retirement &amp; Health</t>
  </si>
  <si>
    <t>P5 Real Estate (Net Rental)</t>
  </si>
  <si>
    <t>TOTAL DEDUCTIONS</t>
  </si>
  <si>
    <t>Enter your marginal rates below. Savings = Total Deductions × Rate.</t>
  </si>
  <si>
    <t>Federal Marginal Rate:</t>
  </si>
  <si>
    <t>State Rate (estimate):</t>
  </si>
  <si>
    <t>Combined Rate:</t>
  </si>
  <si>
    <t>Federal Tax Savings</t>
  </si>
  <si>
    <t>State Tax Savings</t>
  </si>
  <si>
    <t>SE Tax Avoided (Augusta Rule)</t>
  </si>
  <si>
    <t>15.3% FICA avoided</t>
  </si>
  <si>
    <t>FICA Savings (Family Employment)</t>
  </si>
  <si>
    <t>Employer share of FICA</t>
  </si>
  <si>
    <t>ESTIMATED TOTAL TAX SAVINGS</t>
  </si>
  <si>
    <t>QUARTERLY ESTIMATED TAX PLANNING</t>
  </si>
  <si>
    <t>Estimate quarterly payments. Update each quarter with actual figures. Due dates: 4/15, 6/15, 9/15, 1/15.</t>
  </si>
  <si>
    <t>Q1</t>
  </si>
  <si>
    <t>Q2</t>
  </si>
  <si>
    <t>Q3</t>
  </si>
  <si>
    <t>Q4</t>
  </si>
  <si>
    <t>Full Year</t>
  </si>
  <si>
    <t>Estimated Gross Revenue</t>
  </si>
  <si>
    <t>Estimated Business Expenses</t>
  </si>
  <si>
    <t>Estimated Deductions (above)</t>
  </si>
  <si>
    <t>Estimated Taxable Income</t>
  </si>
  <si>
    <t>Estimated Tax</t>
  </si>
  <si>
    <t>Quarterly Payment Due</t>
  </si>
  <si>
    <t>SAVINGS BY CATEGORY</t>
  </si>
  <si>
    <t>Accountable Plan (#3)</t>
  </si>
  <si>
    <t>Augusta Rule (#4)</t>
  </si>
  <si>
    <t>Family Employment (#6)</t>
  </si>
  <si>
    <t>Crypto (#7/#17)</t>
  </si>
  <si>
    <t>Equipment (#8)</t>
  </si>
  <si>
    <t>Home Office (#9)</t>
  </si>
  <si>
    <t>Vehicle (#10-11)</t>
  </si>
  <si>
    <t>Timing (#15)</t>
  </si>
  <si>
    <t>Family Co (#16/16a)</t>
  </si>
  <si>
    <t>Health/HSA (#2/#22)</t>
  </si>
  <si>
    <t>Retirement (#18-28)</t>
  </si>
  <si>
    <t>Rental Income/Loss (#36-43)</t>
  </si>
  <si>
    <t>YOUR ROI</t>
  </si>
  <si>
    <t>Essentials Package Fee:</t>
  </si>
  <si>
    <t>Estimated Tax Savings:</t>
  </si>
  <si>
    <t>Net Benefit:</t>
  </si>
  <si>
    <t>Notes / Additional Items</t>
  </si>
  <si>
    <t>The Eiduk Pathway™ | DIY Toolkit v5.0 | © 2026 Eiduk Tax &amp; Wealth</t>
  </si>
  <si>
    <t>Enter amount in Sec. 179 column. Additive — stacks on top of MACRS or Bonus. Must have taxable income.</t>
  </si>
  <si>
    <t>5. Enter Sec. 179 amount (if electing) in column G — it adds on top of depreciation. Year 1 deduction auto-calculates.</t>
  </si>
  <si>
    <t>MACRS or Bonus (+ 179)</t>
  </si>
  <si>
    <t>SL only</t>
  </si>
  <si>
    <t>SALT capped at $40,000 (OBBBA 2025)</t>
  </si>
  <si>
    <t>Savings-to-Fee Ratio:</t>
  </si>
  <si>
    <t>Return on Investment (ROI):</t>
  </si>
  <si>
    <t>Seeing positive ROI? Imagine what Foundation ($14,997) could do with 17 strategies implemented FOR you.</t>
  </si>
  <si>
    <t>847-874-5299</t>
  </si>
  <si>
    <t>Upgrade to the Eiduk Pathway™ Foundation Tier — We handle all P1-P2 implementation for you.  |  eiduktaxandwealth.com  |  847-874-5299</t>
  </si>
  <si>
    <t>Rental property P&amp;L tracker with income, expenses, and cost segregation estimator. Flags P5 Real Estate optimization opportunities.</t>
  </si>
  <si>
    <t>P5 #36-43 Rental</t>
  </si>
  <si>
    <t>Track crypto dispositions, mining/DeFi income, and charitable donations. Every sale, trade, or spend is a taxable event. Use specific identification for lot selection.</t>
  </si>
  <si>
    <t>P1 #7 / P2 #17</t>
  </si>
  <si>
    <t>Expense acceleration, income deferral, and capital loss harvesting. Prepay up to 12 months of recurring expenses before Dec 31. Watch 30-day wash sale rule.</t>
  </si>
  <si>
    <t>P2 #15/15a</t>
  </si>
  <si>
    <t>Family management company and board of advisors for income splitting. Separate entity provides management services to shift income to lower-bracket family members.</t>
  </si>
  <si>
    <t>P2 #16/16a</t>
  </si>
  <si>
    <t>Track 401(k), IRA, SEP, and HSA contributions against 2025 limits. Includes super catch-up for ages 60-63 under OBBBA. Plan contributions for maximum tax deferral.</t>
  </si>
  <si>
    <t>P3 #18-28</t>
  </si>
  <si>
    <t>Quarterly estimated tax calculator with safe harbor. See real-time impact of every Eiduk Pathway™ strategy on your estimated tax liability. Links to other worksheets.</t>
  </si>
  <si>
    <t>All Phases</t>
  </si>
  <si>
    <t>Estimated Tax Savings (@ 42%)</t>
  </si>
  <si>
    <t>Add $7,500 if 50+; $11,250 if 60-63</t>
  </si>
  <si>
    <t>Same catch-up as traditional 401(k)</t>
  </si>
  <si>
    <t>Add $1,000 if 50+</t>
  </si>
  <si>
    <t>25% of comp, max $70,000</t>
  </si>
  <si>
    <t>Tax Savings from Deductions (@ 42%)</t>
  </si>
  <si>
    <t>• Section 179 Limit: $2,500,000 (phase-out at $4,000,000)  |  Bonus Depreciation: 100% (OBBBA — see note in column H)</t>
  </si>
  <si>
    <t>Bonus</t>
  </si>
  <si>
    <t>100% of cost/basis deducted in Year 1 (OBBBA 2025). CAN create a loss. Purchase agreement after 1/19/2025. Type "BONUS".</t>
  </si>
  <si>
    <t>2. In Method column, type: MACRS, BONUS, or SL</t>
  </si>
  <si>
    <t>Family management co entity + board of advisors for income splitting</t>
  </si>
  <si>
    <t>401(k), IRA, SEP, HSA contribution tracking &amp; limits</t>
  </si>
  <si>
    <t>#16/16a</t>
  </si>
  <si>
    <t>$5,000-$25,000+</t>
  </si>
  <si>
    <t>$5,000-$20,000+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</si>
</sst>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$#,##0.00"/>
    <numFmt numFmtId="165" formatCode="0.000%"/>
    <numFmt numFmtId="166" formatCode="0.0"/>
    <numFmt numFmtId="167" formatCode="0.0%"/>
    <numFmt numFmtId="168" formatCode="\$#,##0"/>
    <numFmt numFmtId="169" formatCode="&quot;$&quot;#,##0"/>
    <numFmt numFmtId="170" formatCode="&quot;$&quot;#,##0.00"/>
  </numFmts>
  <fonts count="163" x14ac:knownFonts="1">
    <font>
      <sz val="11"/>
      <color theme="1"/>
      <name val="Calibri"/>
      <family val="2"/>
      <charset val="1"/>
    </font>
    <font>
      <i/>
      <sz val="9"/>
      <color rgb="FF94A3B8"/>
      <name val="Calibri"/>
      <charset val="1"/>
    </font>
    <font>
      <b/>
      <sz val="10"/>
      <color rgb="FFFFFFFF"/>
      <name val="Calibri"/>
      <charset val="1"/>
    </font>
    <font>
      <b/>
      <sz val="11"/>
      <color rgb="FFFFFFFF"/>
      <name val="Calibri"/>
      <charset val="1"/>
    </font>
    <font>
      <sz val="11"/>
      <color rgb="FF0563C1"/>
      <name val="Calibri"/>
      <charset val="1"/>
    </font>
    <font>
      <sz val="10"/>
      <color rgb="FF64748B"/>
      <name val="Calibri"/>
      <charset val="1"/>
    </font>
    <font>
      <sz val="10"/>
      <color rgb="FF2D3748"/>
      <name val="Calibri"/>
      <charset val="1"/>
    </font>
    <font>
      <sz val="10"/>
      <color rgb="FF059669"/>
      <name val="Calibri"/>
      <charset val="1"/>
    </font>
    <font>
      <sz val="9"/>
      <color theme="1"/>
      <name val="Calibri"/>
      <family val="2"/>
      <charset val="1"/>
    </font>
    <font>
      <sz val="9"/>
      <color rgb="FF9CA3AF"/>
      <name val="Calibri"/>
      <family val="2"/>
      <charset val="1"/>
    </font>
    <font>
      <i/>
      <sz val="8"/>
      <color rgb="FF6B7280"/>
      <name val="Calibri"/>
      <family val="2"/>
      <charset val="1"/>
    </font>
    <font>
      <sz val="8"/>
      <color theme="1"/>
      <name val="Calibri"/>
      <family val="2"/>
      <charset val="1"/>
    </font>
    <font>
      <b/>
      <sz val="8"/>
      <color rgb="FFB91C1C"/>
      <name val="Calibri"/>
      <family val="2"/>
      <charset val="1"/>
    </font>
    <font>
      <sz val="9"/>
      <color rgb="FFDC2626"/>
      <name val="Calibri"/>
      <family val="2"/>
      <charset val="1"/>
    </font>
    <font>
      <sz val="10"/>
      <color rgb="FF1E40AF"/>
      <name val="Calibri"/>
      <charset val="1"/>
    </font>
    <font>
      <b/>
      <i/>
      <sz val="8"/>
      <color rgb="FF6B7280"/>
      <name val="Calibri"/>
      <family val="2"/>
      <charset val="1"/>
    </font>
    <font>
      <b/>
      <sz val="11"/>
      <color rgb="FF1E3A5F"/>
      <name val="Calibri"/>
      <charset val="1"/>
    </font>
    <font>
      <b/>
      <sz val="10"/>
      <color rgb="FF2D3748"/>
      <name val="Calibri"/>
      <charset val="1"/>
    </font>
    <font>
      <b/>
      <sz val="10"/>
      <color rgb="FF1E3A5F"/>
      <name val="Calibri"/>
      <charset val="1"/>
    </font>
    <font>
      <b/>
      <sz val="10"/>
      <color rgb="FFB91C1C"/>
      <name val="Calibri"/>
      <charset val="1"/>
    </font>
    <font>
      <b/>
      <sz val="12"/>
      <color rgb="FFFFFFFF"/>
      <name val="Calibri"/>
      <family val="2"/>
      <charset val="1"/>
    </font>
    <font>
      <b/>
      <sz val="11"/>
      <color rgb="FF1E3A5F"/>
      <name val="Calibri"/>
      <family val="2"/>
      <charset val="1"/>
    </font>
    <font>
      <i/>
      <sz val="10"/>
      <color rgb="FF6B7280"/>
      <name val="Calibri"/>
      <family val="2"/>
      <charset val="1"/>
    </font>
    <font>
      <i/>
      <sz val="9"/>
      <color rgb="FF6B728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4"/>
      <color rgb="FFFFFFFF"/>
      <name val="Source Sans Pro"/>
      <charset val="1"/>
    </font>
    <font>
      <b/>
      <sz val="11"/>
      <color rgb="FFC9A227"/>
      <name val="Playfair Display"/>
      <charset val="1"/>
    </font>
    <font>
      <i/>
      <sz val="9"/>
      <color rgb="FFDC2626"/>
      <name val="Calibri"/>
      <charset val="1"/>
    </font>
    <font>
      <b/>
      <sz val="12"/>
      <color rgb="FF1E3A5F"/>
      <name val="Source Sans Pro"/>
      <charset val="1"/>
    </font>
    <font>
      <sz val="11"/>
      <color rgb="FF2D3748"/>
      <name val="Source Sans Pro"/>
      <charset val="1"/>
    </font>
    <font>
      <sz val="11"/>
      <color rgb="FF0000FF"/>
      <name val="Source Sans Pro"/>
      <charset val="1"/>
    </font>
    <font>
      <i/>
      <sz val="10"/>
      <color rgb="FF64748B"/>
      <name val="Source Sans Pro"/>
      <charset val="1"/>
    </font>
    <font>
      <b/>
      <sz val="10"/>
      <color rgb="FF64748B"/>
      <name val="Source Sans Pro"/>
      <charset val="1"/>
    </font>
    <font>
      <sz val="10"/>
      <color rgb="FF2C5AA0"/>
      <name val="Source Sans Pro"/>
      <charset val="1"/>
    </font>
    <font>
      <sz val="10"/>
      <color rgb="FF2D3748"/>
      <name val="Source Sans Pro"/>
      <charset val="1"/>
    </font>
    <font>
      <sz val="10"/>
      <color rgb="FF64748B"/>
      <name val="Source Sans Pro"/>
      <charset val="1"/>
    </font>
    <font>
      <sz val="9"/>
      <color rgb="FF64748B"/>
      <name val="Source Sans Pro"/>
      <charset val="1"/>
    </font>
    <font>
      <i/>
      <sz val="11"/>
      <color rgb="FF64748B"/>
      <name val="Cambria"/>
      <charset val="1"/>
    </font>
    <font>
      <b/>
      <sz val="18"/>
      <color rgb="FF1E40AF"/>
      <name val="Calibri"/>
      <family val="2"/>
      <charset val="1"/>
    </font>
    <font>
      <i/>
      <sz val="9"/>
      <color rgb="FF666666"/>
      <name val="Calibri"/>
      <family val="2"/>
      <charset val="1"/>
    </font>
    <font>
      <sz val="10"/>
      <name val="Calibri"/>
      <family val="2"/>
      <charset val="1"/>
    </font>
    <font>
      <b/>
      <sz val="10"/>
      <color rgb="FF666666"/>
      <name val="Calibri"/>
      <family val="2"/>
      <charset val="1"/>
    </font>
    <font>
      <b/>
      <sz val="10"/>
      <name val="Calibri"/>
      <family val="2"/>
      <charset val="1"/>
    </font>
    <font>
      <b/>
      <sz val="9"/>
      <name val="Calibri"/>
      <family val="2"/>
      <charset val="1"/>
    </font>
    <font>
      <b/>
      <sz val="12"/>
      <color rgb="FF1E40AF"/>
      <name val="Calibri"/>
      <family val="2"/>
      <charset val="1"/>
    </font>
    <font>
      <b/>
      <sz val="11"/>
      <color rgb="FF1E40AF"/>
      <name val="Calibri"/>
      <family val="2"/>
      <charset val="1"/>
    </font>
    <font>
      <b/>
      <sz val="11"/>
      <color rgb="FFC9A227"/>
      <name val="Cambria"/>
      <charset val="1"/>
    </font>
    <font>
      <b/>
      <sz val="11"/>
      <name val="Calibri"/>
      <family val="2"/>
      <charset val="1"/>
    </font>
    <font>
      <b/>
      <sz val="18"/>
      <color rgb="FF1E3A5F"/>
      <name val="Arial"/>
      <family val="2"/>
      <charset val="1"/>
    </font>
    <font>
      <sz val="11"/>
      <color rgb="FF64748B"/>
      <name val="Arial"/>
      <family val="2"/>
      <charset val="1"/>
    </font>
    <font>
      <b/>
      <i/>
      <sz val="9"/>
      <color rgb="FFDC2626"/>
      <name val="Calibri"/>
      <charset val="1"/>
    </font>
    <font>
      <b/>
      <sz val="14"/>
      <color rgb="FFFFFFFF"/>
      <name val="Arial"/>
      <family val="2"/>
      <charset val="1"/>
    </font>
    <font>
      <i/>
      <sz val="10"/>
      <color rgb="FF64748B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Calibri"/>
      <charset val="1"/>
    </font>
    <font>
      <i/>
      <sz val="10"/>
      <color rgb="FF1E40AF"/>
      <name val="Arial"/>
      <family val="2"/>
      <charset val="1"/>
    </font>
    <font>
      <sz val="10"/>
      <name val="Calibri"/>
      <charset val="1"/>
    </font>
    <font>
      <b/>
      <sz val="11"/>
      <color rgb="FF1E3A5F"/>
      <name val="Arial"/>
      <family val="2"/>
      <charset val="1"/>
    </font>
    <font>
      <sz val="10"/>
      <name val="Arial"/>
      <family val="2"/>
      <charset val="1"/>
    </font>
    <font>
      <i/>
      <sz val="10"/>
      <color rgb="FF059669"/>
      <name val="Arial"/>
      <family val="2"/>
      <charset val="1"/>
    </font>
    <font>
      <i/>
      <sz val="10"/>
      <color rgb="FF7C3AED"/>
      <name val="Arial"/>
      <family val="2"/>
      <charset val="1"/>
    </font>
    <font>
      <sz val="9"/>
      <color rgb="FF64748B"/>
      <name val="Arial"/>
      <family val="2"/>
      <charset val="1"/>
    </font>
    <font>
      <b/>
      <sz val="18"/>
      <color rgb="FF1E3A5F"/>
      <name val="Calibri"/>
      <family val="2"/>
      <charset val="1"/>
    </font>
    <font>
      <sz val="11"/>
      <color rgb="FF008000"/>
      <name val="Source Sans Pro"/>
      <charset val="1"/>
    </font>
    <font>
      <i/>
      <sz val="8"/>
      <color rgb="FF94A3B8"/>
      <name val="Calibri"/>
      <charset val="1"/>
    </font>
    <font>
      <b/>
      <sz val="10"/>
      <color rgb="FF1E40AF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9"/>
      <color rgb="FF666666"/>
      <name val="Calibri"/>
      <family val="2"/>
      <charset val="1"/>
    </font>
    <font>
      <b/>
      <sz val="18"/>
      <color rgb="FF1E40AF"/>
      <name val="Calibri"/>
      <charset val="1"/>
    </font>
    <font>
      <sz val="9"/>
      <color rgb="FF666666"/>
      <name val="Calibri"/>
      <charset val="1"/>
    </font>
    <font>
      <sz val="9"/>
      <color rgb="FF64748B"/>
      <name val="Calibri"/>
      <charset val="1"/>
    </font>
    <font>
      <b/>
      <sz val="12"/>
      <color rgb="FFFFFFFF"/>
      <name val="Calibri"/>
      <charset val="1"/>
    </font>
    <font>
      <sz val="11"/>
      <color rgb="FF000000"/>
      <name val="Calibri"/>
      <charset val="1"/>
    </font>
    <font>
      <sz val="11"/>
      <color rgb="FF0000FF"/>
      <name val="Calibri"/>
      <charset val="1"/>
    </font>
    <font>
      <b/>
      <sz val="11"/>
      <name val="Calibri"/>
      <charset val="1"/>
    </font>
    <font>
      <b/>
      <sz val="12"/>
      <name val="Calibri"/>
      <charset val="1"/>
    </font>
    <font>
      <b/>
      <sz val="14"/>
      <color rgb="FF059669"/>
      <name val="Calibri"/>
      <charset val="1"/>
    </font>
    <font>
      <sz val="8"/>
      <color rgb="FF64748B"/>
      <name val="Calibri"/>
      <charset val="1"/>
    </font>
    <font>
      <b/>
      <sz val="18"/>
      <color rgb="FF0891B2"/>
      <name val="Calibri"/>
      <charset val="1"/>
    </font>
    <font>
      <i/>
      <sz val="9"/>
      <color rgb="FF0891B2"/>
      <name val="Calibri"/>
      <charset val="1"/>
    </font>
    <font>
      <b/>
      <sz val="11"/>
      <color rgb="FF059669"/>
      <name val="Calibri"/>
      <charset val="1"/>
    </font>
    <font>
      <b/>
      <sz val="11"/>
      <color rgb="FF0891B2"/>
      <name val="Calibri"/>
      <charset val="1"/>
    </font>
    <font>
      <b/>
      <sz val="18"/>
      <color rgb="FF1E3A5F"/>
      <name val="Calibri"/>
      <charset val="1"/>
    </font>
    <font>
      <i/>
      <sz val="9"/>
      <color rgb="FFEA580C"/>
      <name val="Calibri"/>
      <charset val="1"/>
    </font>
    <font>
      <sz val="9"/>
      <name val="Calibri"/>
      <charset val="1"/>
    </font>
    <font>
      <i/>
      <sz val="9"/>
      <color rgb="FF64748B"/>
      <name val="Calibri"/>
      <charset val="1"/>
    </font>
    <font>
      <b/>
      <sz val="11"/>
      <color rgb="FF2D3748"/>
      <name val="Calibri"/>
      <charset val="1"/>
    </font>
    <font>
      <sz val="11"/>
      <color rgb="FF2D3748"/>
      <name val="Calibri"/>
      <charset val="1"/>
    </font>
    <font>
      <b/>
      <sz val="12"/>
      <color rgb="FF1E3A5F"/>
      <name val="Calibri"/>
      <charset val="1"/>
    </font>
    <font>
      <b/>
      <sz val="11"/>
      <color rgb="FF1E40AF"/>
      <name val="Calibri"/>
      <charset val="1"/>
    </font>
    <font>
      <b/>
      <sz val="11"/>
      <color rgb="FF2C5AA0"/>
      <name val="Calibri"/>
      <charset val="1"/>
    </font>
    <font>
      <b/>
      <sz val="13"/>
      <color rgb="FF1E40AF"/>
      <name val="Calibri"/>
      <charset val="1"/>
    </font>
    <font>
      <i/>
      <sz val="9"/>
      <color rgb="FF2D3748"/>
      <name val="Calibri"/>
      <charset val="1"/>
    </font>
    <font>
      <sz val="11"/>
      <color rgb="FFDC2626"/>
      <name val="Calibri"/>
      <charset val="1"/>
    </font>
    <font>
      <sz val="11"/>
      <color rgb="FF64748B"/>
      <name val="Calibri"/>
      <charset val="1"/>
    </font>
    <font>
      <b/>
      <sz val="13"/>
      <color rgb="FF059669"/>
      <name val="Calibri"/>
      <charset val="1"/>
    </font>
    <font>
      <b/>
      <sz val="12"/>
      <color rgb="FF059669"/>
      <name val="Calibri"/>
      <family val="2"/>
      <charset val="1"/>
    </font>
    <font>
      <b/>
      <sz val="12"/>
      <name val="Calibri"/>
      <family val="2"/>
      <charset val="1"/>
    </font>
    <font>
      <b/>
      <sz val="10"/>
      <color rgb="FFDC2626"/>
      <name val="Calibri"/>
      <family val="2"/>
      <charset val="1"/>
    </font>
    <font>
      <b/>
      <sz val="10"/>
      <color rgb="FF7C3AED"/>
      <name val="Calibri"/>
      <family val="2"/>
      <charset val="1"/>
    </font>
    <font>
      <b/>
      <sz val="10"/>
      <color rgb="FF059669"/>
      <name val="Calibri"/>
      <family val="2"/>
      <charset val="1"/>
    </font>
    <font>
      <b/>
      <sz val="12"/>
      <color rgb="FF059669"/>
      <name val="Calibri"/>
      <charset val="1"/>
    </font>
    <font>
      <b/>
      <sz val="11"/>
      <color rgb="FFEA580C"/>
      <name val="Calibri"/>
      <charset val="1"/>
    </font>
    <font>
      <i/>
      <sz val="9"/>
      <color rgb="FFC9A227"/>
      <name val="Calibri"/>
      <charset val="1"/>
    </font>
    <font>
      <b/>
      <sz val="14"/>
      <color rgb="FF1E40AF"/>
      <name val="Calibri"/>
      <family val="2"/>
      <charset val="1"/>
    </font>
    <font>
      <i/>
      <sz val="10"/>
      <color rgb="FF666666"/>
      <name val="Calibri"/>
      <family val="2"/>
      <charset val="1"/>
    </font>
    <font>
      <b/>
      <sz val="13"/>
      <color rgb="FF7C3AED"/>
      <name val="Calibri"/>
      <charset val="1"/>
    </font>
    <font>
      <i/>
      <sz val="11"/>
      <color rgb="FF1E40AF"/>
      <name val="Calibri"/>
      <family val="2"/>
      <charset val="1"/>
    </font>
    <font>
      <b/>
      <sz val="16"/>
      <color rgb="FFFFFFFF"/>
      <name val="Calibri"/>
      <charset val="1"/>
    </font>
    <font>
      <i/>
      <sz val="10"/>
      <color rgb="FF6B7280"/>
      <name val="Calibri"/>
      <charset val="1"/>
    </font>
    <font>
      <b/>
      <sz val="10"/>
      <color theme="1"/>
      <name val="Calibri"/>
      <family val="2"/>
      <charset val="1"/>
    </font>
    <font>
      <sz val="10"/>
      <color rgb="FF0000FF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rgb="FF6B7280"/>
      <name val="Calibri"/>
      <family val="2"/>
      <charset val="1"/>
    </font>
    <font>
      <sz val="10"/>
      <color rgb="FF6B7280"/>
      <name val="Calibri"/>
      <family val="2"/>
      <charset val="1"/>
    </font>
    <font>
      <sz val="10"/>
      <color rgb="FF008000"/>
      <name val="Calibri"/>
      <family val="2"/>
      <charset val="1"/>
    </font>
    <font>
      <sz val="7"/>
      <color rgb="FF008000"/>
      <name val="Calibri"/>
      <family val="2"/>
      <charset val="1"/>
    </font>
    <font>
      <i/>
      <sz val="8"/>
      <color rgb="FF008000"/>
      <name val="Calibri"/>
      <family val="2"/>
      <charset val="1"/>
    </font>
    <font>
      <b/>
      <sz val="10"/>
      <color rgb="FF1E3A5F"/>
      <name val="Calibri"/>
      <family val="2"/>
      <charset val="1"/>
    </font>
    <font>
      <b/>
      <i/>
      <sz val="10"/>
      <color rgb="FF1E3A5F"/>
      <name val="Calibri"/>
      <family val="2"/>
      <charset val="1"/>
    </font>
    <font>
      <i/>
      <sz val="8"/>
      <color rgb="FFB91C1C"/>
      <name val="Calibri"/>
      <family val="2"/>
      <charset val="1"/>
    </font>
    <font>
      <b/>
      <sz val="13"/>
      <color rgb="FFFFFFFF"/>
      <name val="Calibri"/>
      <family val="2"/>
      <charset val="1"/>
    </font>
    <font>
      <b/>
      <sz val="10"/>
      <color rgb="FF008000"/>
      <name val="Calibri"/>
      <family val="2"/>
      <charset val="1"/>
    </font>
    <font>
      <b/>
      <sz val="11"/>
      <color rgb="FF008000"/>
      <name val="Calibri"/>
      <family val="2"/>
      <charset val="1"/>
    </font>
    <font>
      <b/>
      <i/>
      <sz val="9"/>
      <color rgb="FFB91C1C"/>
      <name val="Calibri"/>
      <family val="2"/>
      <charset val="1"/>
    </font>
    <font>
      <b/>
      <sz val="10"/>
      <color rgb="FFB91C1C"/>
      <name val="Calibri"/>
      <family val="2"/>
      <charset val="1"/>
    </font>
    <font>
      <b/>
      <i/>
      <sz val="9"/>
      <color rgb="FF6B7280"/>
      <name val="Calibri"/>
      <family val="2"/>
      <charset val="1"/>
    </font>
    <font>
      <b/>
      <sz val="9"/>
      <color theme="1"/>
      <name val="Calibri"/>
      <family val="2"/>
      <charset val="1"/>
    </font>
    <font>
      <sz val="9"/>
      <color rgb="FFFFFFFF"/>
      <name val="Calibri"/>
      <charset val="1"/>
    </font>
    <font>
      <i/>
      <sz val="8"/>
      <color rgb="FF94A3B8"/>
      <name val="Calibri"/>
      <family val="2"/>
      <charset val="1"/>
    </font>
    <font>
      <b/>
      <sz val="20"/>
      <color rgb="FF1E3A5F"/>
      <name val="Calibri"/>
      <charset val="1"/>
    </font>
    <font>
      <b/>
      <sz val="12"/>
      <color rgb="FF1E40AF"/>
      <name val="Calibri"/>
      <charset val="1"/>
    </font>
    <font>
      <b/>
      <sz val="11"/>
      <color rgb="FF7C3AED"/>
      <name val="Calibri"/>
      <charset val="1"/>
    </font>
    <font>
      <b/>
      <sz val="12"/>
      <color rgb="FF7C3AED"/>
      <name val="Calibri"/>
      <charset val="1"/>
    </font>
    <font>
      <b/>
      <sz val="14"/>
      <color rgb="FF1E3A5F"/>
      <name val="Calibri"/>
      <charset val="1"/>
    </font>
    <font>
      <b/>
      <sz val="12"/>
      <color rgb="FF2C5AA0"/>
      <name val="Calibri"/>
      <charset val="1"/>
    </font>
    <font>
      <sz val="11"/>
      <name val="Calibri"/>
      <charset val="1"/>
    </font>
    <font>
      <b/>
      <sz val="14"/>
      <color rgb="FFC9A227"/>
      <name val="Calibri"/>
      <charset val="1"/>
    </font>
    <font>
      <sz val="10"/>
      <color rgb="FF1E3A5F"/>
      <name val="Calibri"/>
      <charset val="1"/>
    </font>
    <font>
      <b/>
      <i/>
      <sz val="11"/>
      <color rgb="FFC9A227"/>
      <name val="Calibri"/>
      <charset val="1"/>
    </font>
    <font>
      <sz val="10"/>
      <color rgb="FF64748B"/>
      <name val="Calibri"/>
    </font>
    <font>
      <b/>
      <sz val="11"/>
      <color rgb="FF2D3748"/>
      <name val="Calibri"/>
    </font>
    <font>
      <sz val="11"/>
      <color rgb="FF0000FF"/>
      <name val="Calibri"/>
    </font>
    <font>
      <b/>
      <sz val="11"/>
      <color rgb="FFFFFFFF"/>
      <name val="Calibri"/>
    </font>
    <font>
      <sz val="11"/>
      <color rgb="FF2D3748"/>
      <name val="Calibri"/>
    </font>
    <font>
      <b/>
      <sz val="14"/>
      <color rgb="FF1E3A5F"/>
      <name val="Calibri"/>
      <charset val="1"/>
    </font>
    <font>
      <b/>
      <sz val="11"/>
      <color rgb="FFB91C1C"/>
      <name val="Calibri"/>
      <family val="2"/>
      <charset val="1"/>
    </font>
    <font>
      <sz val="11"/>
      <color rgb="FF6B7280"/>
      <name val="Calibri"/>
      <family val="2"/>
      <charset val="1"/>
    </font>
    <font>
      <b/>
      <i/>
      <sz val="9"/>
      <color rgb="FF374151"/>
      <name val="Calibri"/>
      <family val="2"/>
      <charset val="1"/>
    </font>
    <font>
      <b/>
      <sz val="9"/>
      <color rgb="FF1E3A5F"/>
      <name val="Calibri"/>
      <family val="2"/>
      <charset val="1"/>
    </font>
    <font>
      <sz val="9"/>
      <color rgb="FF374151"/>
      <name val="Calibri"/>
      <family val="2"/>
      <charset val="1"/>
    </font>
    <font>
      <b/>
      <sz val="9"/>
      <color rgb="FF374151"/>
      <name val="Calibri"/>
      <family val="2"/>
      <charset val="1"/>
    </font>
    <font>
      <sz val="11"/>
      <name val="Calibri"/>
    </font>
    <font>
      <b/>
      <sz val="18"/>
      <color rgb="FF1E3A5F"/>
      <name val="Playfair Display"/>
    </font>
    <font>
      <b/>
      <sz val="13"/>
      <color rgb="FFC9A227"/>
      <name val="Georgia"/>
    </font>
    <font>
      <i/>
      <sz val="11"/>
      <color rgb="FF64748B"/>
      <name val="Source Sans Pro"/>
    </font>
    <font>
      <b/>
      <sz val="13"/>
      <color rgb="FFFFFFFF"/>
      <name val="Source Sans Pro"/>
    </font>
    <font>
      <sz val="11"/>
      <color rgb="FF1E3A5F"/>
      <name val="Source Sans Pro"/>
    </font>
    <font>
      <sz val="10"/>
      <color rgb="FF94A3B8"/>
      <name val="Source Sans Pro"/>
    </font>
    <font>
      <sz val="9"/>
      <color rgb="FF64748B"/>
      <name val="Source Sans Pro"/>
    </font>
    <font>
      <b/>
      <sz val="12"/>
      <color rgb="FF0000FF"/>
      <name val="Calibri"/>
      <family val="2"/>
      <charset val="1"/>
    </font>
    <font>
      <i/>
      <sz val="9"/>
      <color rgb="FF64748B"/>
      <name val="Calibri"/>
      <family val="2"/>
      <charset val="1"/>
    </font>
    <font>
      <b/>
      <sz val="9"/>
      <color indexed="81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rgb="FF1E3A5F"/>
        <bgColor rgb="FF2D3748"/>
      </patternFill>
    </fill>
    <fill>
      <patternFill patternType="solid">
        <fgColor rgb="FFC9A227"/>
        <bgColor rgb="FFB3B3B3"/>
      </patternFill>
    </fill>
    <fill>
      <patternFill patternType="solid">
        <fgColor rgb="FFF8FAFC"/>
        <bgColor rgb="FFFAF8F5"/>
      </patternFill>
    </fill>
    <fill>
      <patternFill patternType="solid">
        <fgColor rgb="FF1E40AF"/>
        <bgColor rgb="FF2C5AA0"/>
      </patternFill>
    </fill>
    <fill>
      <patternFill patternType="solid">
        <fgColor rgb="FF059669"/>
        <bgColor rgb="FF0891B2"/>
      </patternFill>
    </fill>
    <fill>
      <patternFill patternType="solid">
        <fgColor rgb="FFFFFFFF"/>
        <bgColor rgb="FFF8FAFC"/>
      </patternFill>
    </fill>
    <fill>
      <patternFill patternType="solid">
        <fgColor rgb="FF7C3AED"/>
        <bgColor rgb="FF1E40AF"/>
      </patternFill>
    </fill>
    <fill>
      <patternFill patternType="solid">
        <fgColor rgb="FFB91C1C"/>
        <bgColor rgb="FFDC2626"/>
      </patternFill>
    </fill>
    <fill>
      <patternFill patternType="solid">
        <fgColor rgb="FFFAF8F5"/>
        <bgColor rgb="FFF8FAFC"/>
      </patternFill>
    </fill>
    <fill>
      <patternFill patternType="solid">
        <fgColor rgb="FFE8F4FD"/>
        <bgColor rgb="FFEFF6FF"/>
      </patternFill>
    </fill>
    <fill>
      <patternFill patternType="solid">
        <fgColor rgb="FFEFF6FF"/>
        <bgColor rgb="FFF3F4F6"/>
      </patternFill>
    </fill>
    <fill>
      <patternFill patternType="solid">
        <fgColor rgb="FF2563EB"/>
        <bgColor rgb="FF0563C1"/>
      </patternFill>
    </fill>
    <fill>
      <patternFill patternType="solid">
        <fgColor rgb="FFDBEAFE"/>
        <bgColor rgb="FFE2E8F0"/>
      </patternFill>
    </fill>
    <fill>
      <patternFill patternType="solid">
        <fgColor rgb="FFDCFCE7"/>
        <bgColor rgb="FFD1FAE5"/>
      </patternFill>
    </fill>
    <fill>
      <patternFill patternType="solid">
        <fgColor rgb="FFFEF3C7"/>
        <bgColor rgb="FFFEFCE8"/>
      </patternFill>
    </fill>
    <fill>
      <patternFill patternType="solid">
        <fgColor rgb="FFF3E8FF"/>
        <bgColor rgb="FFEDE9FE"/>
      </patternFill>
    </fill>
    <fill>
      <patternFill patternType="solid">
        <fgColor rgb="FFFEFCE8"/>
        <bgColor rgb="FFFFFBEB"/>
      </patternFill>
    </fill>
    <fill>
      <patternFill patternType="solid">
        <fgColor rgb="FFF3F4F6"/>
        <bgColor rgb="FFEFF6FF"/>
      </patternFill>
    </fill>
    <fill>
      <patternFill patternType="solid">
        <fgColor rgb="FFD1FAE5"/>
        <bgColor rgb="FFCCFBF1"/>
      </patternFill>
    </fill>
    <fill>
      <patternFill patternType="solid">
        <fgColor rgb="FFDC2626"/>
        <bgColor rgb="FFB91C1C"/>
      </patternFill>
    </fill>
    <fill>
      <patternFill patternType="solid">
        <fgColor rgb="FFFEE2E2"/>
        <bgColor rgb="FFF3E8FF"/>
      </patternFill>
    </fill>
    <fill>
      <patternFill patternType="solid">
        <fgColor rgb="FFEA580C"/>
        <bgColor rgb="FFFF6B6B"/>
      </patternFill>
    </fill>
    <fill>
      <patternFill patternType="solid">
        <fgColor rgb="FFCCFBF1"/>
        <bgColor rgb="FFD1FAE5"/>
      </patternFill>
    </fill>
    <fill>
      <patternFill patternType="solid">
        <fgColor rgb="FF0891B2"/>
        <bgColor rgb="FF059669"/>
      </patternFill>
    </fill>
    <fill>
      <patternFill patternType="solid">
        <fgColor rgb="FFEDE9FE"/>
        <bgColor rgb="FFF3E8FF"/>
      </patternFill>
    </fill>
    <fill>
      <patternFill patternType="solid">
        <fgColor rgb="FFFFFBEB"/>
        <bgColor rgb="FFFEFCE8"/>
      </patternFill>
    </fill>
    <fill>
      <patternFill patternType="solid">
        <fgColor rgb="FF008000"/>
        <bgColor rgb="FF059669"/>
      </patternFill>
    </fill>
    <fill>
      <patternFill patternType="solid">
        <fgColor rgb="FF64748B"/>
        <bgColor rgb="FF6B7280"/>
      </patternFill>
    </fill>
    <fill>
      <patternFill patternType="solid">
        <fgColor rgb="FF0891B2"/>
        <bgColor rgb="FF0891B2"/>
      </patternFill>
    </fill>
    <fill>
      <patternFill patternType="solid">
        <fgColor rgb="FFFAF8F5"/>
      </patternFill>
    </fill>
    <fill>
      <patternFill patternType="solid">
        <fgColor rgb="FFB91C1C"/>
      </patternFill>
    </fill>
    <fill>
      <patternFill patternType="solid">
        <fgColor rgb="FF1E3A5F"/>
      </patternFill>
    </fill>
    <fill>
      <patternFill patternType="solid">
        <fgColor rgb="FFFEF3C7"/>
        <bgColor indexed="64"/>
      </patternFill>
    </fill>
    <fill>
      <patternFill patternType="solid">
        <fgColor rgb="FFDBEAFE"/>
        <bgColor indexed="64"/>
      </patternFill>
    </fill>
    <fill>
      <patternFill patternType="solid">
        <fgColor rgb="FFDCFCE7"/>
        <bgColor indexed="64"/>
      </patternFill>
    </fill>
    <fill>
      <patternFill patternType="solid">
        <fgColor rgb="FFF3E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F6FF"/>
        <bgColor indexed="64"/>
      </patternFill>
    </fill>
  </fills>
  <borders count="2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/>
      <bottom/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medium">
        <color rgb="FF1E3A5F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D1D5DB"/>
      </top>
      <bottom style="medium">
        <color rgb="FF1E3A5F"/>
      </bottom>
      <diagonal/>
    </border>
    <border>
      <left/>
      <right style="thin">
        <color rgb="FFD1D5DB"/>
      </right>
      <top style="thin">
        <color rgb="FFD1D5DB"/>
      </top>
      <bottom style="medium">
        <color rgb="FF1E3A5F"/>
      </bottom>
      <diagonal/>
    </border>
    <border>
      <left/>
      <right/>
      <top/>
      <bottom style="thin">
        <color rgb="FFD1D5DB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2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7" fillId="4" borderId="0" xfId="0" applyFont="1" applyFill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5" fillId="0" borderId="0" xfId="0" applyFont="1"/>
    <xf numFmtId="0" fontId="18" fillId="0" borderId="0" xfId="0" applyFont="1"/>
    <xf numFmtId="0" fontId="19" fillId="0" borderId="0" xfId="0" applyFont="1"/>
    <xf numFmtId="0" fontId="0" fillId="9" borderId="0" xfId="0" applyFill="1"/>
    <xf numFmtId="0" fontId="22" fillId="0" borderId="0" xfId="0" applyFont="1"/>
    <xf numFmtId="0" fontId="23" fillId="0" borderId="0" xfId="0" applyFont="1"/>
    <xf numFmtId="0" fontId="0" fillId="2" borderId="0" xfId="0" applyFill="1"/>
    <xf numFmtId="0" fontId="27" fillId="0" borderId="0" xfId="0" applyFont="1"/>
    <xf numFmtId="0" fontId="29" fillId="0" borderId="0" xfId="0" applyFont="1" applyAlignment="1">
      <alignment horizontal="right" vertical="center"/>
    </xf>
    <xf numFmtId="0" fontId="30" fillId="12" borderId="5" xfId="0" applyFont="1" applyFill="1" applyBorder="1"/>
    <xf numFmtId="0" fontId="30" fillId="10" borderId="5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7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 wrapText="1"/>
    </xf>
    <xf numFmtId="0" fontId="43" fillId="14" borderId="6" xfId="0" applyFont="1" applyFill="1" applyBorder="1" applyAlignment="1">
      <alignment horizontal="center" vertical="center"/>
    </xf>
    <xf numFmtId="0" fontId="43" fillId="15" borderId="6" xfId="0" applyFont="1" applyFill="1" applyBorder="1" applyAlignment="1">
      <alignment horizontal="center" vertical="center"/>
    </xf>
    <xf numFmtId="0" fontId="42" fillId="0" borderId="0" xfId="0" applyFont="1"/>
    <xf numFmtId="0" fontId="44" fillId="0" borderId="0" xfId="0" applyFont="1"/>
    <xf numFmtId="0" fontId="20" fillId="0" borderId="0" xfId="0" applyFont="1"/>
    <xf numFmtId="0" fontId="42" fillId="14" borderId="0" xfId="0" applyFont="1" applyFill="1"/>
    <xf numFmtId="0" fontId="42" fillId="15" borderId="0" xfId="0" applyFont="1" applyFill="1"/>
    <xf numFmtId="0" fontId="42" fillId="17" borderId="0" xfId="0" applyFont="1" applyFill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53" fillId="4" borderId="7" xfId="0" applyFont="1" applyFill="1" applyBorder="1"/>
    <xf numFmtId="0" fontId="54" fillId="4" borderId="1" xfId="0" applyFont="1" applyFill="1" applyBorder="1" applyAlignment="1">
      <alignment horizontal="center"/>
    </xf>
    <xf numFmtId="0" fontId="0" fillId="0" borderId="7" xfId="0" applyBorder="1"/>
    <xf numFmtId="0" fontId="56" fillId="4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8" fillId="0" borderId="7" xfId="0" applyFont="1" applyBorder="1"/>
    <xf numFmtId="0" fontId="56" fillId="0" borderId="1" xfId="0" applyFont="1" applyBorder="1" applyAlignment="1">
      <alignment horizontal="center"/>
    </xf>
    <xf numFmtId="0" fontId="63" fillId="0" borderId="6" xfId="0" applyFont="1" applyBorder="1"/>
    <xf numFmtId="0" fontId="0" fillId="12" borderId="6" xfId="0" applyFill="1" applyBorder="1"/>
    <xf numFmtId="0" fontId="20" fillId="13" borderId="6" xfId="0" applyFont="1" applyFill="1" applyBorder="1" applyAlignment="1">
      <alignment horizontal="center" vertical="center"/>
    </xf>
    <xf numFmtId="0" fontId="0" fillId="18" borderId="6" xfId="0" applyFill="1" applyBorder="1"/>
    <xf numFmtId="164" fontId="0" fillId="18" borderId="6" xfId="0" applyNumberFormat="1" applyFill="1" applyBorder="1"/>
    <xf numFmtId="0" fontId="0" fillId="18" borderId="6" xfId="0" applyFill="1" applyBorder="1" applyAlignment="1">
      <alignment horizontal="center" vertical="center"/>
    </xf>
    <xf numFmtId="0" fontId="42" fillId="19" borderId="6" xfId="0" applyFont="1" applyFill="1" applyBorder="1"/>
    <xf numFmtId="164" fontId="42" fillId="19" borderId="6" xfId="0" applyNumberFormat="1" applyFont="1" applyFill="1" applyBorder="1"/>
    <xf numFmtId="0" fontId="0" fillId="0" borderId="6" xfId="0" applyBorder="1"/>
    <xf numFmtId="164" fontId="0" fillId="0" borderId="6" xfId="0" applyNumberFormat="1" applyBorder="1"/>
    <xf numFmtId="0" fontId="64" fillId="0" borderId="0" xfId="0" applyFont="1" applyAlignment="1">
      <alignment horizontal="center"/>
    </xf>
    <xf numFmtId="164" fontId="42" fillId="20" borderId="6" xfId="0" applyNumberFormat="1" applyFont="1" applyFill="1" applyBorder="1"/>
    <xf numFmtId="0" fontId="0" fillId="0" borderId="0" xfId="0" applyAlignment="1">
      <alignment horizontal="center" vertical="center"/>
    </xf>
    <xf numFmtId="164" fontId="0" fillId="12" borderId="6" xfId="0" applyNumberFormat="1" applyFill="1" applyBorder="1"/>
    <xf numFmtId="164" fontId="0" fillId="12" borderId="0" xfId="0" applyNumberFormat="1" applyFill="1"/>
    <xf numFmtId="164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42" fillId="12" borderId="6" xfId="0" applyNumberFormat="1" applyFont="1" applyFill="1" applyBorder="1"/>
    <xf numFmtId="0" fontId="40" fillId="0" borderId="0" xfId="0" applyFont="1" applyAlignment="1">
      <alignment horizontal="center" vertical="center"/>
    </xf>
    <xf numFmtId="165" fontId="0" fillId="0" borderId="6" xfId="0" applyNumberFormat="1" applyBorder="1"/>
    <xf numFmtId="0" fontId="42" fillId="19" borderId="6" xfId="0" applyFont="1" applyFill="1" applyBorder="1" applyAlignment="1">
      <alignment horizontal="center" vertical="center"/>
    </xf>
    <xf numFmtId="164" fontId="0" fillId="22" borderId="6" xfId="0" applyNumberFormat="1" applyFill="1" applyBorder="1"/>
    <xf numFmtId="164" fontId="42" fillId="16" borderId="6" xfId="0" applyNumberFormat="1" applyFont="1" applyFill="1" applyBorder="1"/>
    <xf numFmtId="0" fontId="45" fillId="16" borderId="6" xfId="0" applyFont="1" applyFill="1" applyBorder="1"/>
    <xf numFmtId="164" fontId="47" fillId="16" borderId="6" xfId="0" applyNumberFormat="1" applyFont="1" applyFill="1" applyBorder="1"/>
    <xf numFmtId="0" fontId="42" fillId="12" borderId="0" xfId="0" applyFont="1" applyFill="1"/>
    <xf numFmtId="0" fontId="66" fillId="6" borderId="0" xfId="0" applyFont="1" applyFill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166" fontId="0" fillId="0" borderId="6" xfId="0" applyNumberFormat="1" applyBorder="1"/>
    <xf numFmtId="0" fontId="42" fillId="12" borderId="6" xfId="0" applyFont="1" applyFill="1" applyBorder="1"/>
    <xf numFmtId="167" fontId="0" fillId="12" borderId="6" xfId="0" applyNumberFormat="1" applyFill="1" applyBorder="1"/>
    <xf numFmtId="164" fontId="45" fillId="16" borderId="6" xfId="0" applyNumberFormat="1" applyFont="1" applyFill="1" applyBorder="1"/>
    <xf numFmtId="0" fontId="54" fillId="0" borderId="0" xfId="0" applyFont="1"/>
    <xf numFmtId="0" fontId="70" fillId="0" borderId="0" xfId="0" applyFont="1"/>
    <xf numFmtId="0" fontId="54" fillId="19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54" fillId="19" borderId="1" xfId="0" applyFont="1" applyFill="1" applyBorder="1" applyAlignment="1">
      <alignment horizontal="center" wrapText="1"/>
    </xf>
    <xf numFmtId="0" fontId="73" fillId="0" borderId="1" xfId="0" applyFont="1" applyBorder="1"/>
    <xf numFmtId="0" fontId="73" fillId="0" borderId="1" xfId="0" applyFont="1" applyBorder="1" applyAlignment="1">
      <alignment horizontal="center"/>
    </xf>
    <xf numFmtId="168" fontId="73" fillId="0" borderId="1" xfId="0" applyNumberFormat="1" applyFont="1" applyBorder="1"/>
    <xf numFmtId="9" fontId="73" fillId="0" borderId="1" xfId="0" applyNumberFormat="1" applyFont="1" applyBorder="1" applyAlignment="1">
      <alignment horizontal="center"/>
    </xf>
    <xf numFmtId="168" fontId="72" fillId="0" borderId="1" xfId="0" applyNumberFormat="1" applyFont="1" applyBorder="1"/>
    <xf numFmtId="0" fontId="75" fillId="19" borderId="1" xfId="0" applyFont="1" applyFill="1" applyBorder="1"/>
    <xf numFmtId="0" fontId="0" fillId="19" borderId="1" xfId="0" applyFill="1" applyBorder="1"/>
    <xf numFmtId="168" fontId="75" fillId="19" borderId="1" xfId="0" applyNumberFormat="1" applyFont="1" applyFill="1" applyBorder="1"/>
    <xf numFmtId="0" fontId="0" fillId="16" borderId="0" xfId="0" applyFill="1"/>
    <xf numFmtId="0" fontId="54" fillId="19" borderId="0" xfId="0" applyFont="1" applyFill="1"/>
    <xf numFmtId="0" fontId="72" fillId="0" borderId="0" xfId="0" applyFont="1"/>
    <xf numFmtId="0" fontId="77" fillId="0" borderId="0" xfId="0" applyFont="1"/>
    <xf numFmtId="0" fontId="54" fillId="0" borderId="1" xfId="0" applyFont="1" applyBorder="1"/>
    <xf numFmtId="168" fontId="73" fillId="0" borderId="1" xfId="0" applyNumberFormat="1" applyFont="1" applyBorder="1" applyAlignment="1">
      <alignment horizontal="center"/>
    </xf>
    <xf numFmtId="168" fontId="72" fillId="0" borderId="1" xfId="0" applyNumberFormat="1" applyFont="1" applyBorder="1" applyAlignment="1">
      <alignment horizontal="center"/>
    </xf>
    <xf numFmtId="166" fontId="73" fillId="0" borderId="1" xfId="0" applyNumberFormat="1" applyFont="1" applyBorder="1" applyAlignment="1">
      <alignment horizontal="center"/>
    </xf>
    <xf numFmtId="1" fontId="73" fillId="0" borderId="1" xfId="0" applyNumberFormat="1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5" fillId="16" borderId="1" xfId="0" applyFont="1" applyFill="1" applyBorder="1"/>
    <xf numFmtId="168" fontId="80" fillId="0" borderId="1" xfId="0" applyNumberFormat="1" applyFont="1" applyBorder="1" applyAlignment="1">
      <alignment horizontal="center"/>
    </xf>
    <xf numFmtId="0" fontId="81" fillId="0" borderId="0" xfId="0" applyFont="1"/>
    <xf numFmtId="168" fontId="80" fillId="0" borderId="0" xfId="0" applyNumberFormat="1" applyFont="1"/>
    <xf numFmtId="0" fontId="83" fillId="0" borderId="0" xfId="0" applyFont="1"/>
    <xf numFmtId="0" fontId="56" fillId="18" borderId="1" xfId="0" applyFont="1" applyFill="1" applyBorder="1"/>
    <xf numFmtId="164" fontId="56" fillId="18" borderId="1" xfId="0" applyNumberFormat="1" applyFont="1" applyFill="1" applyBorder="1"/>
    <xf numFmtId="0" fontId="84" fillId="4" borderId="1" xfId="0" applyFont="1" applyFill="1" applyBorder="1"/>
    <xf numFmtId="0" fontId="84" fillId="0" borderId="1" xfId="0" applyFont="1" applyBorder="1"/>
    <xf numFmtId="0" fontId="85" fillId="0" borderId="0" xfId="0" applyFont="1"/>
    <xf numFmtId="0" fontId="86" fillId="19" borderId="1" xfId="0" applyFont="1" applyFill="1" applyBorder="1"/>
    <xf numFmtId="0" fontId="87" fillId="0" borderId="1" xfId="0" applyFont="1" applyBorder="1"/>
    <xf numFmtId="0" fontId="88" fillId="0" borderId="1" xfId="0" applyFont="1" applyBorder="1"/>
    <xf numFmtId="0" fontId="86" fillId="0" borderId="1" xfId="0" applyFont="1" applyBorder="1"/>
    <xf numFmtId="168" fontId="80" fillId="0" borderId="1" xfId="0" applyNumberFormat="1" applyFont="1" applyBorder="1"/>
    <xf numFmtId="168" fontId="56" fillId="18" borderId="1" xfId="0" applyNumberFormat="1" applyFont="1" applyFill="1" applyBorder="1"/>
    <xf numFmtId="167" fontId="90" fillId="0" borderId="1" xfId="0" applyNumberFormat="1" applyFont="1" applyBorder="1"/>
    <xf numFmtId="168" fontId="0" fillId="0" borderId="1" xfId="0" applyNumberFormat="1" applyBorder="1"/>
    <xf numFmtId="0" fontId="0" fillId="12" borderId="0" xfId="0" applyFill="1"/>
    <xf numFmtId="0" fontId="91" fillId="0" borderId="1" xfId="0" applyFont="1" applyBorder="1"/>
    <xf numFmtId="168" fontId="56" fillId="4" borderId="1" xfId="0" applyNumberFormat="1" applyFont="1" applyFill="1" applyBorder="1"/>
    <xf numFmtId="168" fontId="56" fillId="0" borderId="1" xfId="0" applyNumberFormat="1" applyFont="1" applyBorder="1"/>
    <xf numFmtId="167" fontId="90" fillId="12" borderId="1" xfId="0" applyNumberFormat="1" applyFont="1" applyFill="1" applyBorder="1"/>
    <xf numFmtId="0" fontId="54" fillId="18" borderId="1" xfId="0" applyFont="1" applyFill="1" applyBorder="1" applyAlignment="1">
      <alignment horizontal="center" wrapText="1"/>
    </xf>
    <xf numFmtId="0" fontId="56" fillId="0" borderId="1" xfId="0" applyFont="1" applyBorder="1"/>
    <xf numFmtId="0" fontId="86" fillId="18" borderId="1" xfId="0" applyFont="1" applyFill="1" applyBorder="1"/>
    <xf numFmtId="0" fontId="0" fillId="18" borderId="0" xfId="0" applyFill="1"/>
    <xf numFmtId="0" fontId="56" fillId="4" borderId="1" xfId="0" applyFont="1" applyFill="1" applyBorder="1"/>
    <xf numFmtId="0" fontId="95" fillId="0" borderId="1" xfId="0" applyFont="1" applyBorder="1"/>
    <xf numFmtId="168" fontId="95" fillId="0" borderId="1" xfId="0" applyNumberFormat="1" applyFont="1" applyBorder="1"/>
    <xf numFmtId="0" fontId="66" fillId="13" borderId="6" xfId="0" applyFont="1" applyFill="1" applyBorder="1" applyAlignment="1">
      <alignment horizontal="center" vertical="center"/>
    </xf>
    <xf numFmtId="0" fontId="66" fillId="8" borderId="6" xfId="0" applyFont="1" applyFill="1" applyBorder="1" applyAlignment="1">
      <alignment horizontal="center" vertical="center"/>
    </xf>
    <xf numFmtId="0" fontId="42" fillId="26" borderId="0" xfId="0" applyFont="1" applyFill="1"/>
    <xf numFmtId="168" fontId="42" fillId="0" borderId="0" xfId="0" applyNumberFormat="1" applyFont="1"/>
    <xf numFmtId="168" fontId="42" fillId="26" borderId="6" xfId="0" applyNumberFormat="1" applyFont="1" applyFill="1" applyBorder="1"/>
    <xf numFmtId="168" fontId="0" fillId="12" borderId="6" xfId="0" applyNumberFormat="1" applyFill="1" applyBorder="1"/>
    <xf numFmtId="168" fontId="96" fillId="20" borderId="6" xfId="0" applyNumberFormat="1" applyFont="1" applyFill="1" applyBorder="1"/>
    <xf numFmtId="168" fontId="0" fillId="0" borderId="6" xfId="0" applyNumberFormat="1" applyBorder="1"/>
    <xf numFmtId="168" fontId="42" fillId="12" borderId="6" xfId="0" applyNumberFormat="1" applyFont="1" applyFill="1" applyBorder="1"/>
    <xf numFmtId="168" fontId="96" fillId="16" borderId="6" xfId="0" applyNumberFormat="1" applyFont="1" applyFill="1" applyBorder="1"/>
    <xf numFmtId="164" fontId="97" fillId="16" borderId="6" xfId="0" applyNumberFormat="1" applyFont="1" applyFill="1" applyBorder="1"/>
    <xf numFmtId="0" fontId="42" fillId="12" borderId="6" xfId="0" applyFont="1" applyFill="1" applyBorder="1" applyAlignment="1">
      <alignment horizontal="center" vertical="center"/>
    </xf>
    <xf numFmtId="2" fontId="0" fillId="0" borderId="6" xfId="0" applyNumberFormat="1" applyBorder="1"/>
    <xf numFmtId="164" fontId="0" fillId="26" borderId="6" xfId="0" applyNumberFormat="1" applyFill="1" applyBorder="1"/>
    <xf numFmtId="2" fontId="0" fillId="18" borderId="6" xfId="0" applyNumberFormat="1" applyFill="1" applyBorder="1"/>
    <xf numFmtId="2" fontId="42" fillId="18" borderId="6" xfId="0" applyNumberFormat="1" applyFont="1" applyFill="1" applyBorder="1"/>
    <xf numFmtId="0" fontId="42" fillId="18" borderId="0" xfId="0" applyFont="1" applyFill="1"/>
    <xf numFmtId="0" fontId="0" fillId="12" borderId="1" xfId="0" applyFill="1" applyBorder="1"/>
    <xf numFmtId="9" fontId="56" fillId="18" borderId="1" xfId="0" applyNumberFormat="1" applyFont="1" applyFill="1" applyBorder="1"/>
    <xf numFmtId="9" fontId="56" fillId="4" borderId="1" xfId="0" applyNumberFormat="1" applyFont="1" applyFill="1" applyBorder="1"/>
    <xf numFmtId="9" fontId="74" fillId="0" borderId="1" xfId="0" applyNumberFormat="1" applyFont="1" applyBorder="1"/>
    <xf numFmtId="0" fontId="0" fillId="18" borderId="1" xfId="0" applyFill="1" applyBorder="1"/>
    <xf numFmtId="0" fontId="0" fillId="0" borderId="1" xfId="0" applyBorder="1"/>
    <xf numFmtId="9" fontId="90" fillId="0" borderId="1" xfId="0" applyNumberFormat="1" applyFont="1" applyBorder="1"/>
    <xf numFmtId="0" fontId="101" fillId="0" borderId="1" xfId="0" applyFont="1" applyBorder="1"/>
    <xf numFmtId="0" fontId="102" fillId="0" borderId="1" xfId="0" applyFont="1" applyBorder="1"/>
    <xf numFmtId="0" fontId="87" fillId="18" borderId="1" xfId="0" applyFont="1" applyFill="1" applyBorder="1"/>
    <xf numFmtId="0" fontId="103" fillId="0" borderId="0" xfId="0" applyFont="1"/>
    <xf numFmtId="0" fontId="47" fillId="14" borderId="6" xfId="0" applyFont="1" applyFill="1" applyBorder="1"/>
    <xf numFmtId="0" fontId="47" fillId="14" borderId="8" xfId="0" applyFont="1" applyFill="1" applyBorder="1"/>
    <xf numFmtId="0" fontId="47" fillId="14" borderId="9" xfId="0" applyFont="1" applyFill="1" applyBorder="1"/>
    <xf numFmtId="49" fontId="0" fillId="7" borderId="10" xfId="0" applyNumberFormat="1" applyFill="1" applyBorder="1"/>
    <xf numFmtId="49" fontId="0" fillId="7" borderId="6" xfId="0" applyNumberFormat="1" applyFill="1" applyBorder="1"/>
    <xf numFmtId="0" fontId="0" fillId="7" borderId="6" xfId="0" applyFill="1" applyBorder="1"/>
    <xf numFmtId="0" fontId="47" fillId="14" borderId="6" xfId="0" applyFont="1" applyFill="1" applyBorder="1" applyAlignment="1">
      <alignment horizontal="center"/>
    </xf>
    <xf numFmtId="168" fontId="0" fillId="18" borderId="6" xfId="0" applyNumberFormat="1" applyFill="1" applyBorder="1"/>
    <xf numFmtId="0" fontId="39" fillId="0" borderId="6" xfId="0" applyFont="1" applyBorder="1"/>
    <xf numFmtId="0" fontId="47" fillId="0" borderId="6" xfId="0" applyFont="1" applyBorder="1"/>
    <xf numFmtId="0" fontId="108" fillId="2" borderId="0" xfId="0" applyFont="1" applyFill="1"/>
    <xf numFmtId="0" fontId="109" fillId="0" borderId="0" xfId="0" applyFont="1"/>
    <xf numFmtId="0" fontId="110" fillId="0" borderId="0" xfId="0" applyFont="1"/>
    <xf numFmtId="0" fontId="111" fillId="12" borderId="0" xfId="0" applyFont="1" applyFill="1" applyAlignment="1">
      <alignment horizontal="center"/>
    </xf>
    <xf numFmtId="0" fontId="112" fillId="0" borderId="0" xfId="0" applyFont="1"/>
    <xf numFmtId="168" fontId="111" fillId="12" borderId="0" xfId="0" applyNumberFormat="1" applyFont="1" applyFill="1" applyAlignment="1">
      <alignment horizontal="center"/>
    </xf>
    <xf numFmtId="1" fontId="111" fillId="12" borderId="0" xfId="0" applyNumberFormat="1" applyFont="1" applyFill="1" applyAlignment="1">
      <alignment horizontal="center"/>
    </xf>
    <xf numFmtId="0" fontId="10" fillId="0" borderId="0" xfId="0" applyFont="1"/>
    <xf numFmtId="168" fontId="110" fillId="0" borderId="0" xfId="0" applyNumberFormat="1" applyFont="1"/>
    <xf numFmtId="0" fontId="20" fillId="2" borderId="0" xfId="0" applyFont="1" applyFill="1"/>
    <xf numFmtId="0" fontId="66" fillId="2" borderId="0" xfId="0" applyFont="1" applyFill="1" applyAlignment="1">
      <alignment horizontal="center"/>
    </xf>
    <xf numFmtId="0" fontId="66" fillId="2" borderId="0" xfId="0" applyFont="1" applyFill="1"/>
    <xf numFmtId="168" fontId="111" fillId="12" borderId="0" xfId="0" applyNumberFormat="1" applyFont="1" applyFill="1"/>
    <xf numFmtId="0" fontId="113" fillId="0" borderId="0" xfId="0" applyFont="1"/>
    <xf numFmtId="0" fontId="114" fillId="0" borderId="0" xfId="0" applyFont="1"/>
    <xf numFmtId="0" fontId="115" fillId="0" borderId="0" xfId="0" applyFont="1"/>
    <xf numFmtId="0" fontId="116" fillId="0" borderId="0" xfId="0" applyFont="1"/>
    <xf numFmtId="168" fontId="115" fillId="0" borderId="0" xfId="0" applyNumberFormat="1" applyFont="1"/>
    <xf numFmtId="0" fontId="117" fillId="0" borderId="0" xfId="0" applyFont="1"/>
    <xf numFmtId="0" fontId="21" fillId="0" borderId="0" xfId="0" applyFont="1"/>
    <xf numFmtId="168" fontId="16" fillId="0" borderId="0" xfId="0" applyNumberFormat="1" applyFont="1"/>
    <xf numFmtId="168" fontId="112" fillId="0" borderId="0" xfId="0" applyNumberFormat="1" applyFont="1"/>
    <xf numFmtId="168" fontId="21" fillId="0" borderId="0" xfId="0" applyNumberFormat="1" applyFont="1"/>
    <xf numFmtId="0" fontId="20" fillId="9" borderId="0" xfId="0" applyFont="1" applyFill="1"/>
    <xf numFmtId="168" fontId="20" fillId="9" borderId="0" xfId="0" applyNumberFormat="1" applyFont="1" applyFill="1"/>
    <xf numFmtId="0" fontId="118" fillId="0" borderId="0" xfId="0" applyFont="1"/>
    <xf numFmtId="0" fontId="111" fillId="12" borderId="0" xfId="0" applyFont="1" applyFill="1"/>
    <xf numFmtId="0" fontId="119" fillId="0" borderId="0" xfId="0" applyFont="1"/>
    <xf numFmtId="0" fontId="120" fillId="0" borderId="0" xfId="0" applyFont="1"/>
    <xf numFmtId="9" fontId="112" fillId="0" borderId="0" xfId="0" applyNumberFormat="1" applyFont="1" applyAlignment="1">
      <alignment horizontal="center"/>
    </xf>
    <xf numFmtId="168" fontId="112" fillId="0" borderId="0" xfId="0" applyNumberFormat="1" applyFont="1" applyAlignment="1">
      <alignment horizontal="center"/>
    </xf>
    <xf numFmtId="0" fontId="112" fillId="0" borderId="0" xfId="0" applyFont="1" applyAlignment="1">
      <alignment horizontal="center"/>
    </xf>
    <xf numFmtId="10" fontId="111" fillId="12" borderId="0" xfId="0" applyNumberFormat="1" applyFont="1" applyFill="1"/>
    <xf numFmtId="0" fontId="121" fillId="9" borderId="0" xfId="0" applyFont="1" applyFill="1"/>
    <xf numFmtId="0" fontId="121" fillId="2" borderId="0" xfId="0" applyFont="1" applyFill="1"/>
    <xf numFmtId="167" fontId="112" fillId="0" borderId="0" xfId="0" applyNumberFormat="1" applyFont="1"/>
    <xf numFmtId="167" fontId="110" fillId="0" borderId="0" xfId="0" applyNumberFormat="1" applyFont="1"/>
    <xf numFmtId="0" fontId="20" fillId="28" borderId="0" xfId="0" applyFont="1" applyFill="1"/>
    <xf numFmtId="0" fontId="0" fillId="28" borderId="0" xfId="0" applyFill="1"/>
    <xf numFmtId="168" fontId="122" fillId="0" borderId="0" xfId="0" applyNumberFormat="1" applyFont="1"/>
    <xf numFmtId="168" fontId="123" fillId="0" borderId="0" xfId="0" applyNumberFormat="1" applyFont="1"/>
    <xf numFmtId="168" fontId="20" fillId="28" borderId="0" xfId="0" applyNumberFormat="1" applyFont="1" applyFill="1"/>
    <xf numFmtId="0" fontId="124" fillId="0" borderId="0" xfId="0" applyFont="1"/>
    <xf numFmtId="168" fontId="110" fillId="0" borderId="0" xfId="0" applyNumberFormat="1" applyFont="1" applyAlignment="1">
      <alignment horizontal="center"/>
    </xf>
    <xf numFmtId="0" fontId="125" fillId="0" borderId="0" xfId="0" applyFont="1"/>
    <xf numFmtId="0" fontId="126" fillId="0" borderId="0" xfId="0" applyFont="1"/>
    <xf numFmtId="0" fontId="127" fillId="0" borderId="0" xfId="0" applyFont="1"/>
    <xf numFmtId="0" fontId="128" fillId="2" borderId="0" xfId="0" applyFont="1" applyFill="1"/>
    <xf numFmtId="0" fontId="129" fillId="0" borderId="0" xfId="0" applyFont="1"/>
    <xf numFmtId="168" fontId="87" fillId="0" borderId="1" xfId="0" applyNumberFormat="1" applyFont="1" applyBorder="1" applyAlignment="1">
      <alignment horizontal="right"/>
    </xf>
    <xf numFmtId="0" fontId="89" fillId="0" borderId="11" xfId="0" applyFont="1" applyBorder="1"/>
    <xf numFmtId="168" fontId="131" fillId="0" borderId="11" xfId="0" applyNumberFormat="1" applyFont="1" applyBorder="1" applyAlignment="1">
      <alignment horizontal="right"/>
    </xf>
    <xf numFmtId="0" fontId="0" fillId="0" borderId="11" xfId="0" applyBorder="1"/>
    <xf numFmtId="0" fontId="80" fillId="0" borderId="11" xfId="0" applyFont="1" applyBorder="1"/>
    <xf numFmtId="168" fontId="101" fillId="0" borderId="11" xfId="0" applyNumberFormat="1" applyFont="1" applyBorder="1" applyAlignment="1">
      <alignment horizontal="right"/>
    </xf>
    <xf numFmtId="168" fontId="5" fillId="0" borderId="1" xfId="0" applyNumberFormat="1" applyFont="1" applyBorder="1" applyAlignment="1">
      <alignment horizontal="right"/>
    </xf>
    <xf numFmtId="0" fontId="132" fillId="0" borderId="11" xfId="0" applyFont="1" applyBorder="1"/>
    <xf numFmtId="168" fontId="133" fillId="0" borderId="11" xfId="0" applyNumberFormat="1" applyFont="1" applyBorder="1" applyAlignment="1">
      <alignment horizontal="right"/>
    </xf>
    <xf numFmtId="0" fontId="71" fillId="2" borderId="1" xfId="0" applyFont="1" applyFill="1" applyBorder="1"/>
    <xf numFmtId="168" fontId="86" fillId="0" borderId="1" xfId="0" applyNumberFormat="1" applyFont="1" applyBorder="1" applyAlignment="1">
      <alignment horizontal="right"/>
    </xf>
    <xf numFmtId="0" fontId="134" fillId="0" borderId="11" xfId="0" applyFont="1" applyBorder="1"/>
    <xf numFmtId="168" fontId="134" fillId="0" borderId="11" xfId="0" applyNumberFormat="1" applyFont="1" applyBorder="1"/>
    <xf numFmtId="0" fontId="71" fillId="3" borderId="1" xfId="0" applyFont="1" applyFill="1" applyBorder="1"/>
    <xf numFmtId="0" fontId="74" fillId="0" borderId="1" xfId="0" applyFont="1" applyBorder="1"/>
    <xf numFmtId="167" fontId="135" fillId="12" borderId="1" xfId="0" applyNumberFormat="1" applyFont="1" applyFill="1" applyBorder="1"/>
    <xf numFmtId="167" fontId="88" fillId="0" borderId="1" xfId="0" applyNumberFormat="1" applyFont="1" applyBorder="1"/>
    <xf numFmtId="0" fontId="76" fillId="0" borderId="11" xfId="0" applyFont="1" applyBorder="1"/>
    <xf numFmtId="168" fontId="76" fillId="0" borderId="11" xfId="0" applyNumberFormat="1" applyFont="1" applyBorder="1"/>
    <xf numFmtId="0" fontId="17" fillId="19" borderId="1" xfId="0" applyFont="1" applyFill="1" applyBorder="1" applyAlignment="1">
      <alignment horizontal="center"/>
    </xf>
    <xf numFmtId="0" fontId="136" fillId="4" borderId="1" xfId="0" applyFont="1" applyFill="1" applyBorder="1"/>
    <xf numFmtId="168" fontId="0" fillId="18" borderId="1" xfId="0" applyNumberFormat="1" applyFill="1" applyBorder="1" applyAlignment="1">
      <alignment horizontal="right"/>
    </xf>
    <xf numFmtId="168" fontId="0" fillId="4" borderId="1" xfId="0" applyNumberFormat="1" applyFill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0" fontId="74" fillId="4" borderId="1" xfId="0" applyFont="1" applyFill="1" applyBorder="1"/>
    <xf numFmtId="0" fontId="88" fillId="0" borderId="11" xfId="0" applyFont="1" applyBorder="1"/>
    <xf numFmtId="168" fontId="0" fillId="0" borderId="11" xfId="0" applyNumberFormat="1" applyBorder="1" applyAlignment="1">
      <alignment horizontal="right"/>
    </xf>
    <xf numFmtId="0" fontId="71" fillId="29" borderId="1" xfId="0" applyFont="1" applyFill="1" applyBorder="1"/>
    <xf numFmtId="168" fontId="135" fillId="12" borderId="1" xfId="0" applyNumberFormat="1" applyFont="1" applyFill="1" applyBorder="1"/>
    <xf numFmtId="0" fontId="80" fillId="0" borderId="1" xfId="0" applyFont="1" applyBorder="1"/>
    <xf numFmtId="168" fontId="80" fillId="0" borderId="1" xfId="0" applyNumberFormat="1" applyFont="1" applyBorder="1" applyAlignment="1">
      <alignment horizontal="right"/>
    </xf>
    <xf numFmtId="168" fontId="88" fillId="0" borderId="11" xfId="0" applyNumberFormat="1" applyFont="1" applyBorder="1"/>
    <xf numFmtId="0" fontId="137" fillId="0" borderId="1" xfId="0" applyFont="1" applyBorder="1"/>
    <xf numFmtId="167" fontId="137" fillId="0" borderId="1" xfId="0" applyNumberFormat="1" applyFont="1" applyBorder="1"/>
    <xf numFmtId="0" fontId="138" fillId="0" borderId="0" xfId="0" applyFont="1" applyAlignment="1">
      <alignment horizontal="center"/>
    </xf>
    <xf numFmtId="0" fontId="139" fillId="0" borderId="0" xfId="0" applyFont="1" applyAlignment="1">
      <alignment horizontal="center"/>
    </xf>
    <xf numFmtId="0" fontId="141" fillId="0" borderId="0" xfId="0" applyFont="1"/>
    <xf numFmtId="0" fontId="142" fillId="0" borderId="0" xfId="0" applyFont="1"/>
    <xf numFmtId="0" fontId="140" fillId="0" borderId="0" xfId="0" applyFont="1"/>
    <xf numFmtId="0" fontId="140" fillId="2" borderId="0" xfId="0" applyFont="1" applyFill="1"/>
    <xf numFmtId="0" fontId="143" fillId="30" borderId="0" xfId="0" applyFont="1" applyFill="1"/>
    <xf numFmtId="0" fontId="0" fillId="30" borderId="0" xfId="0" applyFill="1"/>
    <xf numFmtId="0" fontId="144" fillId="0" borderId="0" xfId="0" applyFont="1"/>
    <xf numFmtId="168" fontId="0" fillId="0" borderId="0" xfId="0" applyNumberFormat="1"/>
    <xf numFmtId="0" fontId="145" fillId="0" borderId="0" xfId="0" applyFont="1" applyAlignment="1">
      <alignment horizontal="left"/>
    </xf>
    <xf numFmtId="0" fontId="146" fillId="0" borderId="0" xfId="0" applyFont="1"/>
    <xf numFmtId="0" fontId="147" fillId="0" borderId="0" xfId="0" applyFont="1"/>
    <xf numFmtId="0" fontId="148" fillId="0" borderId="0" xfId="0" applyFont="1" applyAlignment="1">
      <alignment horizontal="left"/>
    </xf>
    <xf numFmtId="0" fontId="149" fillId="0" borderId="0" xfId="0" applyFont="1" applyAlignment="1">
      <alignment horizontal="left"/>
    </xf>
    <xf numFmtId="0" fontId="150" fillId="0" borderId="0" xfId="0" applyFont="1"/>
    <xf numFmtId="0" fontId="151" fillId="0" borderId="0" xfId="0" applyFont="1"/>
    <xf numFmtId="0" fontId="152" fillId="0" borderId="0" xfId="0" applyFont="1"/>
    <xf numFmtId="0" fontId="152" fillId="0" borderId="2" xfId="0" applyFont="1" applyBorder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169" fontId="73" fillId="0" borderId="1" xfId="0" applyNumberFormat="1" applyFont="1" applyBorder="1"/>
    <xf numFmtId="169" fontId="75" fillId="19" borderId="1" xfId="0" applyNumberFormat="1" applyFont="1" applyFill="1" applyBorder="1"/>
    <xf numFmtId="169" fontId="73" fillId="0" borderId="1" xfId="0" applyNumberFormat="1" applyFont="1" applyBorder="1" applyAlignment="1">
      <alignment horizontal="center"/>
    </xf>
    <xf numFmtId="169" fontId="72" fillId="0" borderId="1" xfId="0" applyNumberFormat="1" applyFont="1" applyBorder="1"/>
    <xf numFmtId="169" fontId="74" fillId="0" borderId="1" xfId="0" applyNumberFormat="1" applyFont="1" applyBorder="1"/>
    <xf numFmtId="169" fontId="72" fillId="0" borderId="0" xfId="0" applyNumberFormat="1" applyFont="1"/>
    <xf numFmtId="169" fontId="76" fillId="16" borderId="0" xfId="0" applyNumberFormat="1" applyFont="1" applyFill="1"/>
    <xf numFmtId="14" fontId="125" fillId="0" borderId="0" xfId="0" applyNumberFormat="1" applyFont="1" applyAlignment="1">
      <alignment horizontal="center"/>
    </xf>
    <xf numFmtId="170" fontId="0" fillId="18" borderId="6" xfId="0" applyNumberFormat="1" applyFill="1" applyBorder="1"/>
    <xf numFmtId="170" fontId="0" fillId="0" borderId="0" xfId="0" applyNumberFormat="1"/>
    <xf numFmtId="170" fontId="42" fillId="19" borderId="6" xfId="0" applyNumberFormat="1" applyFont="1" applyFill="1" applyBorder="1"/>
    <xf numFmtId="170" fontId="0" fillId="0" borderId="6" xfId="0" applyNumberFormat="1" applyBorder="1"/>
    <xf numFmtId="170" fontId="40" fillId="0" borderId="0" xfId="0" applyNumberFormat="1" applyFont="1"/>
    <xf numFmtId="169" fontId="0" fillId="0" borderId="0" xfId="0" applyNumberFormat="1"/>
    <xf numFmtId="169" fontId="0" fillId="12" borderId="6" xfId="0" applyNumberFormat="1" applyFill="1" applyBorder="1"/>
    <xf numFmtId="170" fontId="42" fillId="20" borderId="6" xfId="0" applyNumberFormat="1" applyFont="1" applyFill="1" applyBorder="1"/>
    <xf numFmtId="170" fontId="47" fillId="16" borderId="6" xfId="0" applyNumberFormat="1" applyFont="1" applyFill="1" applyBorder="1"/>
    <xf numFmtId="170" fontId="0" fillId="12" borderId="6" xfId="0" applyNumberFormat="1" applyFill="1" applyBorder="1"/>
    <xf numFmtId="170" fontId="42" fillId="12" borderId="6" xfId="0" applyNumberFormat="1" applyFont="1" applyFill="1" applyBorder="1"/>
    <xf numFmtId="168" fontId="75" fillId="16" borderId="1" xfId="0" applyNumberFormat="1" applyFont="1" applyFill="1" applyBorder="1"/>
    <xf numFmtId="168" fontId="54" fillId="19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88" fillId="0" borderId="1" xfId="0" applyNumberFormat="1" applyFont="1" applyBorder="1"/>
    <xf numFmtId="164" fontId="80" fillId="0" borderId="1" xfId="0" applyNumberFormat="1" applyFont="1" applyBorder="1"/>
    <xf numFmtId="164" fontId="74" fillId="0" borderId="1" xfId="0" applyNumberFormat="1" applyFont="1" applyBorder="1"/>
    <xf numFmtId="164" fontId="89" fillId="0" borderId="1" xfId="0" applyNumberFormat="1" applyFont="1" applyBorder="1"/>
    <xf numFmtId="164" fontId="91" fillId="0" borderId="1" xfId="0" applyNumberFormat="1" applyFont="1" applyBorder="1"/>
    <xf numFmtId="170" fontId="80" fillId="0" borderId="1" xfId="0" applyNumberFormat="1" applyFont="1" applyBorder="1"/>
    <xf numFmtId="164" fontId="56" fillId="4" borderId="1" xfId="0" applyNumberFormat="1" applyFont="1" applyFill="1" applyBorder="1"/>
    <xf numFmtId="164" fontId="56" fillId="0" borderId="1" xfId="0" applyNumberFormat="1" applyFont="1" applyBorder="1"/>
    <xf numFmtId="164" fontId="54" fillId="18" borderId="1" xfId="0" applyNumberFormat="1" applyFont="1" applyFill="1" applyBorder="1" applyAlignment="1">
      <alignment horizontal="center" wrapText="1"/>
    </xf>
    <xf numFmtId="170" fontId="56" fillId="18" borderId="1" xfId="0" applyNumberFormat="1" applyFont="1" applyFill="1" applyBorder="1"/>
    <xf numFmtId="164" fontId="54" fillId="19" borderId="1" xfId="0" applyNumberFormat="1" applyFont="1" applyFill="1" applyBorder="1" applyAlignment="1">
      <alignment horizontal="center" wrapText="1"/>
    </xf>
    <xf numFmtId="170" fontId="56" fillId="4" borderId="1" xfId="0" applyNumberFormat="1" applyFont="1" applyFill="1" applyBorder="1"/>
    <xf numFmtId="170" fontId="90" fillId="18" borderId="1" xfId="0" applyNumberFormat="1" applyFont="1" applyFill="1" applyBorder="1"/>
    <xf numFmtId="164" fontId="87" fillId="0" borderId="1" xfId="0" applyNumberFormat="1" applyFont="1" applyBorder="1"/>
    <xf numFmtId="164" fontId="93" fillId="0" borderId="1" xfId="0" applyNumberFormat="1" applyFont="1" applyBorder="1"/>
    <xf numFmtId="164" fontId="94" fillId="0" borderId="1" xfId="0" applyNumberFormat="1" applyFont="1" applyBorder="1"/>
    <xf numFmtId="164" fontId="95" fillId="0" borderId="1" xfId="0" applyNumberFormat="1" applyFont="1" applyBorder="1"/>
    <xf numFmtId="164" fontId="42" fillId="19" borderId="6" xfId="0" applyNumberFormat="1" applyFont="1" applyFill="1" applyBorder="1" applyAlignment="1">
      <alignment horizontal="center" vertical="center"/>
    </xf>
    <xf numFmtId="170" fontId="0" fillId="20" borderId="6" xfId="0" applyNumberFormat="1" applyFill="1" applyBorder="1"/>
    <xf numFmtId="169" fontId="56" fillId="4" borderId="1" xfId="0" applyNumberFormat="1" applyFont="1" applyFill="1" applyBorder="1"/>
    <xf numFmtId="164" fontId="101" fillId="0" borderId="1" xfId="0" applyNumberFormat="1" applyFont="1" applyBorder="1"/>
    <xf numFmtId="164" fontId="80" fillId="18" borderId="1" xfId="0" applyNumberFormat="1" applyFont="1" applyFill="1" applyBorder="1"/>
    <xf numFmtId="170" fontId="0" fillId="19" borderId="1" xfId="0" applyNumberFormat="1" applyFill="1" applyBorder="1"/>
    <xf numFmtId="164" fontId="74" fillId="27" borderId="6" xfId="0" applyNumberFormat="1" applyFont="1" applyFill="1" applyBorder="1"/>
    <xf numFmtId="164" fontId="106" fillId="27" borderId="6" xfId="0" applyNumberFormat="1" applyFont="1" applyFill="1" applyBorder="1"/>
    <xf numFmtId="169" fontId="112" fillId="0" borderId="0" xfId="0" applyNumberFormat="1" applyFont="1"/>
    <xf numFmtId="169" fontId="20" fillId="9" borderId="0" xfId="0" applyNumberFormat="1" applyFont="1" applyFill="1"/>
    <xf numFmtId="169" fontId="110" fillId="0" borderId="0" xfId="0" applyNumberFormat="1" applyFont="1"/>
    <xf numFmtId="169" fontId="121" fillId="9" borderId="0" xfId="0" applyNumberFormat="1" applyFont="1" applyFill="1"/>
    <xf numFmtId="168" fontId="121" fillId="2" borderId="0" xfId="0" applyNumberFormat="1" applyFont="1" applyFill="1"/>
    <xf numFmtId="0" fontId="80" fillId="0" borderId="0" xfId="0" applyFont="1"/>
    <xf numFmtId="167" fontId="76" fillId="0" borderId="0" xfId="0" applyNumberFormat="1" applyFont="1"/>
    <xf numFmtId="170" fontId="0" fillId="18" borderId="0" xfId="0" applyNumberFormat="1" applyFill="1"/>
    <xf numFmtId="0" fontId="0" fillId="18" borderId="0" xfId="0" applyFill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34" borderId="6" xfId="0" applyFont="1" applyFill="1" applyBorder="1" applyAlignment="1">
      <alignment horizontal="center" vertical="center"/>
    </xf>
    <xf numFmtId="0" fontId="43" fillId="35" borderId="6" xfId="0" applyFont="1" applyFill="1" applyBorder="1" applyAlignment="1">
      <alignment horizontal="center" vertical="center"/>
    </xf>
    <xf numFmtId="0" fontId="43" fillId="36" borderId="6" xfId="0" applyFont="1" applyFill="1" applyBorder="1" applyAlignment="1">
      <alignment horizontal="center" vertical="center"/>
    </xf>
    <xf numFmtId="0" fontId="43" fillId="37" borderId="6" xfId="0" applyFont="1" applyFill="1" applyBorder="1" applyAlignment="1">
      <alignment horizontal="center" vertical="center"/>
    </xf>
    <xf numFmtId="0" fontId="43" fillId="38" borderId="6" xfId="0" applyFont="1" applyFill="1" applyBorder="1" applyAlignment="1">
      <alignment horizontal="center" vertical="center"/>
    </xf>
    <xf numFmtId="0" fontId="4" fillId="7" borderId="0" xfId="0" applyFont="1" applyFill="1"/>
    <xf numFmtId="0" fontId="159" fillId="0" borderId="0" xfId="0" applyFont="1" applyAlignment="1">
      <alignment horizontal="center" vertical="center" wrapText="1"/>
    </xf>
    <xf numFmtId="0" fontId="0" fillId="0" borderId="0" xfId="0"/>
    <xf numFmtId="0" fontId="156" fillId="33" borderId="0" xfId="0" applyFont="1" applyFill="1" applyAlignment="1">
      <alignment horizontal="center" vertical="center"/>
    </xf>
    <xf numFmtId="0" fontId="3" fillId="6" borderId="0" xfId="0" applyFont="1" applyFill="1"/>
    <xf numFmtId="0" fontId="3" fillId="3" borderId="20" xfId="0" applyFont="1" applyFill="1" applyBorder="1"/>
    <xf numFmtId="0" fontId="0" fillId="0" borderId="20" xfId="0" applyBorder="1"/>
    <xf numFmtId="0" fontId="156" fillId="32" borderId="0" xfId="0" applyFont="1" applyFill="1" applyAlignment="1">
      <alignment horizontal="center" vertical="center"/>
    </xf>
    <xf numFmtId="0" fontId="158" fillId="33" borderId="0" xfId="0" applyFont="1" applyFill="1" applyAlignment="1">
      <alignment horizontal="center" vertical="center"/>
    </xf>
    <xf numFmtId="0" fontId="3" fillId="8" borderId="20" xfId="0" applyFont="1" applyFill="1" applyBorder="1"/>
    <xf numFmtId="0" fontId="153" fillId="31" borderId="0" xfId="0" applyFont="1" applyFill="1" applyAlignment="1">
      <alignment horizontal="center" vertical="center"/>
    </xf>
    <xf numFmtId="0" fontId="157" fillId="0" borderId="0" xfId="0" applyFont="1" applyAlignment="1">
      <alignment horizontal="center" vertical="center" wrapText="1"/>
    </xf>
    <xf numFmtId="0" fontId="3" fillId="2" borderId="0" xfId="0" applyFont="1" applyFill="1"/>
    <xf numFmtId="0" fontId="16" fillId="0" borderId="0" xfId="0" applyFont="1"/>
    <xf numFmtId="0" fontId="155" fillId="31" borderId="0" xfId="0" applyFont="1" applyFill="1" applyAlignment="1">
      <alignment horizontal="center" vertical="center"/>
    </xf>
    <xf numFmtId="0" fontId="154" fillId="31" borderId="0" xfId="0" applyFont="1" applyFill="1" applyAlignment="1">
      <alignment horizontal="center" vertical="center"/>
    </xf>
    <xf numFmtId="0" fontId="3" fillId="5" borderId="0" xfId="0" applyFont="1" applyFill="1"/>
    <xf numFmtId="0" fontId="25" fillId="2" borderId="0" xfId="0" applyFont="1" applyFill="1" applyAlignment="1">
      <alignment horizontal="center" vertical="center"/>
    </xf>
    <xf numFmtId="0" fontId="28" fillId="11" borderId="0" xfId="0" applyFont="1" applyFill="1" applyAlignment="1">
      <alignment horizontal="left" vertical="center"/>
    </xf>
    <xf numFmtId="0" fontId="37" fillId="0" borderId="0" xfId="0" applyFont="1" applyAlignment="1">
      <alignment horizontal="center"/>
    </xf>
    <xf numFmtId="0" fontId="31" fillId="0" borderId="0" xfId="0" applyFont="1" applyAlignment="1">
      <alignment horizontal="left" vertical="center"/>
    </xf>
    <xf numFmtId="0" fontId="26" fillId="10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0" xfId="0" applyFont="1"/>
    <xf numFmtId="0" fontId="20" fillId="13" borderId="0" xfId="0" applyFont="1" applyFill="1"/>
    <xf numFmtId="0" fontId="40" fillId="0" borderId="0" xfId="0" applyFont="1"/>
    <xf numFmtId="0" fontId="20" fillId="16" borderId="0" xfId="0" applyFont="1" applyFill="1"/>
    <xf numFmtId="0" fontId="20" fillId="6" borderId="0" xfId="0" applyFont="1" applyFill="1"/>
    <xf numFmtId="0" fontId="39" fillId="0" borderId="0" xfId="0" applyFont="1"/>
    <xf numFmtId="0" fontId="49" fillId="0" borderId="0" xfId="0" applyFont="1" applyAlignment="1">
      <alignment horizontal="center"/>
    </xf>
    <xf numFmtId="0" fontId="57" fillId="4" borderId="0" xfId="0" applyFont="1" applyFill="1"/>
    <xf numFmtId="0" fontId="59" fillId="0" borderId="0" xfId="0" applyFont="1"/>
    <xf numFmtId="0" fontId="48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52" fillId="0" borderId="0" xfId="0" applyFont="1"/>
    <xf numFmtId="0" fontId="55" fillId="0" borderId="0" xfId="0" applyFont="1"/>
    <xf numFmtId="0" fontId="50" fillId="0" borderId="0" xfId="0" applyFont="1" applyAlignment="1">
      <alignment horizontal="center"/>
    </xf>
    <xf numFmtId="0" fontId="51" fillId="3" borderId="0" xfId="0" applyFont="1" applyFill="1" applyAlignment="1">
      <alignment horizontal="left" indent="1"/>
    </xf>
    <xf numFmtId="0" fontId="51" fillId="5" borderId="0" xfId="0" applyFont="1" applyFill="1" applyAlignment="1">
      <alignment horizontal="left" indent="1"/>
    </xf>
    <xf numFmtId="0" fontId="61" fillId="0" borderId="0" xfId="0" applyFont="1" applyAlignment="1">
      <alignment horizontal="center"/>
    </xf>
    <xf numFmtId="0" fontId="51" fillId="8" borderId="0" xfId="0" applyFont="1" applyFill="1" applyAlignment="1">
      <alignment horizontal="left" indent="1"/>
    </xf>
    <xf numFmtId="0" fontId="51" fillId="6" borderId="0" xfId="0" applyFont="1" applyFill="1" applyAlignment="1">
      <alignment horizontal="left" indent="1"/>
    </xf>
    <xf numFmtId="0" fontId="60" fillId="0" borderId="0" xfId="0" applyFont="1"/>
    <xf numFmtId="0" fontId="0" fillId="12" borderId="6" xfId="0" applyFill="1" applyBorder="1"/>
    <xf numFmtId="0" fontId="0" fillId="0" borderId="9" xfId="0" applyBorder="1"/>
    <xf numFmtId="0" fontId="62" fillId="0" borderId="0" xfId="0" applyFont="1"/>
    <xf numFmtId="0" fontId="64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2" fillId="19" borderId="6" xfId="0" applyFont="1" applyFill="1" applyBorder="1"/>
    <xf numFmtId="0" fontId="0" fillId="0" borderId="14" xfId="0" applyBorder="1"/>
    <xf numFmtId="0" fontId="45" fillId="0" borderId="0" xfId="0" applyFont="1"/>
    <xf numFmtId="0" fontId="20" fillId="21" borderId="0" xfId="0" applyFont="1" applyFill="1"/>
    <xf numFmtId="0" fontId="65" fillId="0" borderId="0" xfId="0" applyFont="1"/>
    <xf numFmtId="169" fontId="0" fillId="0" borderId="0" xfId="0" applyNumberFormat="1"/>
    <xf numFmtId="0" fontId="42" fillId="19" borderId="0" xfId="0" applyFont="1" applyFill="1"/>
    <xf numFmtId="0" fontId="42" fillId="0" borderId="0" xfId="0" applyFont="1"/>
    <xf numFmtId="170" fontId="0" fillId="0" borderId="0" xfId="0" applyNumberFormat="1"/>
    <xf numFmtId="0" fontId="63" fillId="12" borderId="6" xfId="0" applyFont="1" applyFill="1" applyBorder="1"/>
    <xf numFmtId="0" fontId="68" fillId="0" borderId="0" xfId="0" applyFont="1"/>
    <xf numFmtId="0" fontId="70" fillId="0" borderId="0" xfId="0" applyFont="1"/>
    <xf numFmtId="0" fontId="70" fillId="16" borderId="0" xfId="0" applyFont="1" applyFill="1"/>
    <xf numFmtId="9" fontId="160" fillId="39" borderId="0" xfId="0" applyNumberFormat="1" applyFont="1" applyFill="1" applyAlignment="1">
      <alignment horizontal="center"/>
    </xf>
    <xf numFmtId="0" fontId="54" fillId="19" borderId="0" xfId="0" applyFont="1" applyFill="1"/>
    <xf numFmtId="0" fontId="71" fillId="23" borderId="0" xfId="0" applyFont="1" applyFill="1"/>
    <xf numFmtId="0" fontId="69" fillId="0" borderId="0" xfId="0" applyFont="1"/>
    <xf numFmtId="0" fontId="54" fillId="16" borderId="0" xfId="0" applyFont="1" applyFill="1"/>
    <xf numFmtId="0" fontId="118" fillId="34" borderId="0" xfId="0" applyFont="1" applyFill="1" applyAlignment="1">
      <alignment horizontal="right"/>
    </xf>
    <xf numFmtId="0" fontId="161" fillId="34" borderId="0" xfId="0" applyFont="1" applyFill="1"/>
    <xf numFmtId="0" fontId="71" fillId="13" borderId="0" xfId="0" applyFont="1" applyFill="1"/>
    <xf numFmtId="0" fontId="75" fillId="16" borderId="0" xfId="0" applyFont="1" applyFill="1"/>
    <xf numFmtId="9" fontId="0" fillId="0" borderId="0" xfId="0" applyNumberFormat="1"/>
    <xf numFmtId="0" fontId="78" fillId="0" borderId="0" xfId="0" applyFont="1"/>
    <xf numFmtId="0" fontId="71" fillId="25" borderId="0" xfId="0" applyFont="1" applyFill="1"/>
    <xf numFmtId="0" fontId="54" fillId="24" borderId="0" xfId="0" applyFont="1" applyFill="1"/>
    <xf numFmtId="168" fontId="0" fillId="0" borderId="0" xfId="0" applyNumberFormat="1"/>
    <xf numFmtId="0" fontId="82" fillId="0" borderId="0" xfId="0" applyFont="1" applyAlignment="1">
      <alignment horizontal="center"/>
    </xf>
    <xf numFmtId="0" fontId="92" fillId="0" borderId="0" xfId="0" applyFont="1"/>
    <xf numFmtId="0" fontId="71" fillId="6" borderId="0" xfId="0" applyFont="1" applyFill="1"/>
    <xf numFmtId="0" fontId="71" fillId="5" borderId="0" xfId="0" applyFont="1" applyFill="1"/>
    <xf numFmtId="0" fontId="85" fillId="0" borderId="0" xfId="0" applyFont="1"/>
    <xf numFmtId="0" fontId="70" fillId="0" borderId="0" xfId="0" applyFont="1" applyAlignment="1">
      <alignment horizontal="center"/>
    </xf>
    <xf numFmtId="0" fontId="83" fillId="0" borderId="0" xfId="0" applyFont="1"/>
    <xf numFmtId="0" fontId="71" fillId="2" borderId="0" xfId="0" applyFont="1" applyFill="1"/>
    <xf numFmtId="0" fontId="27" fillId="18" borderId="0" xfId="0" applyFont="1" applyFill="1"/>
    <xf numFmtId="164" fontId="0" fillId="0" borderId="0" xfId="0" applyNumberFormat="1"/>
    <xf numFmtId="0" fontId="42" fillId="12" borderId="0" xfId="0" applyFont="1" applyFill="1"/>
    <xf numFmtId="0" fontId="42" fillId="16" borderId="0" xfId="0" applyFont="1" applyFill="1"/>
    <xf numFmtId="0" fontId="20" fillId="8" borderId="0" xfId="0" applyFont="1" applyFill="1"/>
    <xf numFmtId="0" fontId="42" fillId="22" borderId="0" xfId="0" applyFont="1" applyFill="1"/>
    <xf numFmtId="0" fontId="0" fillId="0" borderId="6" xfId="0" applyBorder="1"/>
    <xf numFmtId="0" fontId="98" fillId="0" borderId="0" xfId="0" applyFont="1"/>
    <xf numFmtId="0" fontId="97" fillId="16" borderId="0" xfId="0" applyFont="1" applyFill="1"/>
    <xf numFmtId="0" fontId="99" fillId="0" borderId="0" xfId="0" applyFont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2" fillId="20" borderId="0" xfId="0" applyFont="1" applyFill="1"/>
    <xf numFmtId="0" fontId="100" fillId="0" borderId="0" xfId="0" applyFont="1"/>
    <xf numFmtId="0" fontId="98" fillId="16" borderId="0" xfId="0" applyFont="1" applyFill="1"/>
    <xf numFmtId="0" fontId="103" fillId="0" borderId="0" xfId="0" applyFont="1"/>
    <xf numFmtId="0" fontId="24" fillId="5" borderId="0" xfId="0" applyFont="1" applyFill="1" applyAlignment="1">
      <alignment horizontal="center"/>
    </xf>
    <xf numFmtId="0" fontId="104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130" fillId="0" borderId="0" xfId="0" applyFont="1" applyAlignment="1">
      <alignment horizontal="center"/>
    </xf>
    <xf numFmtId="0" fontId="71" fillId="5" borderId="1" xfId="0" applyFont="1" applyFill="1" applyBorder="1"/>
    <xf numFmtId="0" fontId="0" fillId="0" borderId="3" xfId="0" applyBorder="1"/>
    <xf numFmtId="0" fontId="0" fillId="0" borderId="4" xfId="0" applyBorder="1"/>
    <xf numFmtId="0" fontId="5" fillId="0" borderId="0" xfId="0" applyFont="1" applyAlignment="1">
      <alignment horizontal="center"/>
    </xf>
    <xf numFmtId="0" fontId="71" fillId="6" borderId="1" xfId="0" applyFont="1" applyFill="1" applyBorder="1"/>
    <xf numFmtId="0" fontId="71" fillId="8" borderId="1" xfId="0" applyFont="1" applyFill="1" applyBorder="1"/>
    <xf numFmtId="0" fontId="87" fillId="19" borderId="1" xfId="0" applyFont="1" applyFill="1" applyBorder="1"/>
    <xf numFmtId="0" fontId="16" fillId="19" borderId="1" xfId="0" applyFont="1" applyFill="1" applyBorder="1"/>
    <xf numFmtId="0" fontId="0" fillId="0" borderId="1" xfId="0" applyBorder="1"/>
    <xf numFmtId="0" fontId="88" fillId="0" borderId="0" xfId="0" applyFont="1"/>
    <xf numFmtId="0" fontId="85" fillId="0" borderId="11" xfId="0" applyFont="1" applyBorder="1"/>
    <xf numFmtId="0" fontId="0" fillId="0" borderId="18" xfId="0" applyBorder="1"/>
    <xf numFmtId="0" fontId="0" fillId="0" borderId="19" xfId="0" applyBorder="1"/>
    <xf numFmtId="0" fontId="136" fillId="0" borderId="1" xfId="0" applyFont="1" applyBorder="1"/>
    <xf numFmtId="168" fontId="0" fillId="0" borderId="3" xfId="0" applyNumberFormat="1" applyBorder="1"/>
    <xf numFmtId="168" fontId="0" fillId="0" borderId="4" xfId="0" applyNumberFormat="1" applyBorder="1"/>
  </cellXfs>
  <cellStyles count="1">
    <cellStyle name="Normal" xfId="0" builtinId="0"/>
  </cellStyles>
  <dxfs count="106">
    <dxf>
      <font>
        <b/>
        <color rgb="FF059669"/>
      </font>
    </dxf>
    <dxf>
      <font>
        <color rgb="FFDC2626"/>
      </font>
    </dxf>
    <dxf>
      <font>
        <b/>
        <color rgb="FF059669"/>
      </font>
    </dxf>
    <dxf>
      <font>
        <b/>
        <color rgb="FFDC2626"/>
      </font>
      <fill>
        <patternFill>
          <bgColor rgb="FFFEE2E2"/>
        </patternFill>
      </fill>
    </dxf>
    <dxf>
      <font>
        <b/>
        <color rgb="FFDC2626"/>
      </font>
      <fill>
        <patternFill>
          <bgColor rgb="FFFEE2E2"/>
        </patternFill>
      </fill>
    </dxf>
    <dxf>
      <fill>
        <patternFill>
          <bgColor rgb="FFFFFF00"/>
        </patternFill>
      </fill>
    </dxf>
    <dxf>
      <fill>
        <patternFill>
          <bgColor rgb="FFFF6B6B"/>
        </patternFill>
      </fill>
    </dxf>
    <dxf>
      <font>
        <b/>
        <i val="0"/>
        <color rgb="FFFF0000"/>
      </font>
      <fill>
        <patternFill patternType="solid">
          <fgColor indexed="64"/>
          <bgColor rgb="FFFEE2E2"/>
        </patternFill>
      </fill>
    </dxf>
    <dxf>
      <font>
        <b/>
        <i val="0"/>
        <color rgb="FFFF0000"/>
      </font>
      <fill>
        <patternFill patternType="solid">
          <fgColor indexed="64"/>
          <bgColor rgb="FFFEE2E2"/>
        </patternFill>
      </fill>
    </dxf>
    <dxf>
      <fill>
        <patternFill>
          <bgColor rgb="FFFEE2E2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F3F4F6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DC2626"/>
      <rgbColor rgb="FFFAF8F5"/>
      <rgbColor rgb="FF0000FF"/>
      <rgbColor rgb="FFFFFF00"/>
      <rgbColor rgb="FFFF00FF"/>
      <rgbColor rgb="FFEDE9FE"/>
      <rgbColor rgb="FF800000"/>
      <rgbColor rgb="FF008000"/>
      <rgbColor rgb="FF000080"/>
      <rgbColor rgb="FF666666"/>
      <rgbColor rgb="FF800080"/>
      <rgbColor rgb="FF059669"/>
      <rgbColor rgb="FFCCCCCC"/>
      <rgbColor rgb="FF6B7280"/>
      <rgbColor rgb="FF94A3B8"/>
      <rgbColor rgb="FF7C3AED"/>
      <rgbColor rgb="FFFEF3C7"/>
      <rgbColor rgb="FFCCFBF1"/>
      <rgbColor rgb="FF660066"/>
      <rgbColor rgb="FFFF6B6B"/>
      <rgbColor rgb="FF0563C1"/>
      <rgbColor rgb="FFD1D5DB"/>
      <rgbColor rgb="FF000080"/>
      <rgbColor rgb="FFFF00FF"/>
      <rgbColor rgb="FFFFFBEB"/>
      <rgbColor rgb="FFEFF6FF"/>
      <rgbColor rgb="FF800080"/>
      <rgbColor rgb="FF800000"/>
      <rgbColor rgb="FF0891B2"/>
      <rgbColor rgb="FF0000FF"/>
      <rgbColor rgb="FFF3F4F6"/>
      <rgbColor rgb="FFDCFCE7"/>
      <rgbColor rgb="FFD1FAE5"/>
      <rgbColor rgb="FFFEFCE8"/>
      <rgbColor rgb="FFB3B3B3"/>
      <rgbColor rgb="FFF3E8FF"/>
      <rgbColor rgb="FFD9D9D9"/>
      <rgbColor rgb="FFFEE2E2"/>
      <rgbColor rgb="FF2563EB"/>
      <rgbColor rgb="FFE8F4FD"/>
      <rgbColor rgb="FFDBEAFE"/>
      <rgbColor rgb="FFE2E8F0"/>
      <rgbColor rgb="FFC9A227"/>
      <rgbColor rgb="FFEA580C"/>
      <rgbColor rgb="FF64748B"/>
      <rgbColor rgb="FF9CA3AF"/>
      <rgbColor rgb="FF1E3A5F"/>
      <rgbColor rgb="FF4F81BD"/>
      <rgbColor rgb="FF2C5AA0"/>
      <rgbColor rgb="FF374151"/>
      <rgbColor rgb="FFB91C1C"/>
      <rgbColor rgb="FFF8FAFC"/>
      <rgbColor rgb="FF1E40AF"/>
      <rgbColor rgb="FF2D374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Tax Savings by Strategy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1E40AF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2F-461F-8093-34D90E93E7CD}"/>
              </c:ext>
            </c:extLst>
          </c:dPt>
          <c:dPt>
            <c:idx val="1"/>
            <c:invertIfNegative val="0"/>
            <c:bubble3D val="0"/>
            <c:spPr>
              <a:solidFill>
                <a:srgbClr val="1E40AF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2F-461F-8093-34D90E93E7CD}"/>
              </c:ext>
            </c:extLst>
          </c:dPt>
          <c:dPt>
            <c:idx val="2"/>
            <c:invertIfNegative val="0"/>
            <c:bubble3D val="0"/>
            <c:spPr>
              <a:solidFill>
                <a:srgbClr val="1E40AF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2F-461F-8093-34D90E93E7CD}"/>
              </c:ext>
            </c:extLst>
          </c:dPt>
          <c:dPt>
            <c:idx val="3"/>
            <c:invertIfNegative val="0"/>
            <c:bubble3D val="0"/>
            <c:spPr>
              <a:solidFill>
                <a:srgbClr val="1E40AF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2F-461F-8093-34D90E93E7CD}"/>
              </c:ext>
            </c:extLst>
          </c:dPt>
          <c:dPt>
            <c:idx val="4"/>
            <c:invertIfNegative val="0"/>
            <c:bubble3D val="0"/>
            <c:spPr>
              <a:solidFill>
                <a:srgbClr val="059669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2F-461F-8093-34D90E93E7CD}"/>
              </c:ext>
            </c:extLst>
          </c:dPt>
          <c:dPt>
            <c:idx val="5"/>
            <c:invertIfNegative val="0"/>
            <c:bubble3D val="0"/>
            <c:spPr>
              <a:solidFill>
                <a:srgbClr val="059669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D2F-461F-8093-34D90E93E7CD}"/>
              </c:ext>
            </c:extLst>
          </c:dPt>
          <c:dPt>
            <c:idx val="6"/>
            <c:invertIfNegative val="0"/>
            <c:bubble3D val="0"/>
            <c:spPr>
              <a:solidFill>
                <a:srgbClr val="059669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D2F-461F-8093-34D90E93E7CD}"/>
              </c:ext>
            </c:extLst>
          </c:dPt>
          <c:dPt>
            <c:idx val="7"/>
            <c:invertIfNegative val="0"/>
            <c:bubble3D val="0"/>
            <c:spPr>
              <a:solidFill>
                <a:srgbClr val="059669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D2F-461F-8093-34D90E93E7CD}"/>
              </c:ext>
            </c:extLst>
          </c:dPt>
          <c:dPt>
            <c:idx val="8"/>
            <c:invertIfNegative val="0"/>
            <c:bubble3D val="0"/>
            <c:spPr>
              <a:solidFill>
                <a:srgbClr val="059669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D2F-461F-8093-34D90E93E7CD}"/>
              </c:ext>
            </c:extLst>
          </c:dPt>
          <c:dPt>
            <c:idx val="9"/>
            <c:invertIfNegative val="0"/>
            <c:bubble3D val="0"/>
            <c:spPr>
              <a:solidFill>
                <a:srgbClr val="7C3AED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D2F-461F-8093-34D90E93E7CD}"/>
              </c:ext>
            </c:extLst>
          </c:dPt>
          <c:dPt>
            <c:idx val="10"/>
            <c:invertIfNegative val="0"/>
            <c:bubble3D val="0"/>
            <c:spPr>
              <a:solidFill>
                <a:srgbClr val="7C3AED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D2F-461F-8093-34D90E93E7CD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AD2F-461F-8093-34D90E93E7CD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AD2F-461F-8093-34D90E93E7CD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AD2F-461F-8093-34D90E93E7CD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AD2F-461F-8093-34D90E93E7CD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AD2F-461F-8093-34D90E93E7CD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AD2F-461F-8093-34D90E93E7CD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D-AD2F-461F-8093-34D90E93E7CD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F-AD2F-461F-8093-34D90E93E7CD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1-AD2F-461F-8093-34D90E93E7CD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3-AD2F-461F-8093-34D90E93E7CD}"/>
                </c:ext>
              </c:extLst>
            </c:dLbl>
            <c:dLbl>
              <c:idx val="1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5-AD2F-461F-8093-34D90E93E7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'Annual Summary'!$A$59:$A$69</c:f>
              <c:strCache>
                <c:ptCount val="11"/>
                <c:pt idx="0">
                  <c:v>Estimated Deductions (above)</c:v>
                </c:pt>
                <c:pt idx="1">
                  <c:v>Estimated Taxable Income</c:v>
                </c:pt>
                <c:pt idx="2">
                  <c:v>Estimated Tax</c:v>
                </c:pt>
                <c:pt idx="3">
                  <c:v>Quarterly Payment Due</c:v>
                </c:pt>
                <c:pt idx="5">
                  <c:v>SAVINGS BY CATEGORY</c:v>
                </c:pt>
                <c:pt idx="6">
                  <c:v>Accountable Plan (#3)</c:v>
                </c:pt>
                <c:pt idx="7">
                  <c:v>Augusta Rule (#4)</c:v>
                </c:pt>
                <c:pt idx="8">
                  <c:v>Family Employment (#6)</c:v>
                </c:pt>
                <c:pt idx="9">
                  <c:v>Crypto (#7/#17)</c:v>
                </c:pt>
                <c:pt idx="10">
                  <c:v>Equipment (#8)</c:v>
                </c:pt>
              </c:strCache>
            </c:strRef>
          </c:cat>
          <c:val>
            <c:numRef>
              <c:f>'Annual Summary'!$B$59:$B$69</c:f>
              <c:numCache>
                <c:formatCode>\$#,##0</c:formatCode>
                <c:ptCount val="11"/>
                <c:pt idx="0">
                  <c:v>375</c:v>
                </c:pt>
                <c:pt idx="1">
                  <c:v>-375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D2F-461F-8093-34D90E93E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75405"/>
        <c:axId val="36457889"/>
      </c:barChart>
      <c:catAx>
        <c:axId val="201754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6457889"/>
        <c:crosses val="autoZero"/>
        <c:auto val="1"/>
        <c:lblAlgn val="ctr"/>
        <c:lblOffset val="100"/>
        <c:noMultiLvlLbl val="0"/>
      </c:catAx>
      <c:valAx>
        <c:axId val="3645788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Deduction ($)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175405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10800</xdr:rowOff>
    </xdr:from>
    <xdr:to>
      <xdr:col>7</xdr:col>
      <xdr:colOff>445680</xdr:colOff>
      <xdr:row>95</xdr:row>
      <xdr:rowOff>67320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C034786-FB67-4B44-8A55-302E234A46C2}">
  <we:reference id="wa200009404" version="1.0.0.5" store="en-US" storeType="OMEX"/>
  <we:alternateReferences>
    <we:reference id="wa200009404" version="1.0.0.5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A227"/>
    <pageSetUpPr fitToPage="1"/>
  </sheetPr>
  <dimension ref="A1:H45"/>
  <sheetViews>
    <sheetView tabSelected="1" zoomScaleNormal="100" workbookViewId="0">
      <pane ySplit="5" topLeftCell="A6" activePane="bottomLeft" state="frozen"/>
      <selection pane="bottomLeft" activeCell="L9" sqref="L9"/>
    </sheetView>
  </sheetViews>
  <sheetFormatPr defaultColWidth="8.7109375" defaultRowHeight="15" x14ac:dyDescent="0.25"/>
  <cols>
    <col min="1" max="1" width="30" customWidth="1"/>
    <col min="2" max="2" width="56.5703125" customWidth="1"/>
    <col min="3" max="3" width="14" customWidth="1"/>
    <col min="4" max="4" width="16" customWidth="1"/>
    <col min="5" max="5" width="20" customWidth="1"/>
    <col min="6" max="6" width="13" customWidth="1"/>
    <col min="7" max="7" width="36" customWidth="1"/>
    <col min="8" max="8" width="3" customWidth="1"/>
  </cols>
  <sheetData>
    <row r="1" spans="1:8" ht="36" customHeight="1" x14ac:dyDescent="0.25">
      <c r="A1" s="369" t="s">
        <v>82</v>
      </c>
      <c r="B1" s="361"/>
      <c r="C1" s="361"/>
      <c r="D1" s="361"/>
      <c r="E1" s="361"/>
      <c r="F1" s="361"/>
      <c r="G1" s="361"/>
      <c r="H1" s="289"/>
    </row>
    <row r="2" spans="1:8" ht="19.5" customHeight="1" x14ac:dyDescent="0.25">
      <c r="A2" s="374" t="s">
        <v>79</v>
      </c>
      <c r="B2" s="361"/>
      <c r="C2" s="361"/>
      <c r="D2" s="361"/>
      <c r="E2" s="361"/>
      <c r="F2" s="361"/>
      <c r="G2" s="361"/>
      <c r="H2" s="289"/>
    </row>
    <row r="3" spans="1:8" ht="15.75" customHeight="1" x14ac:dyDescent="0.25">
      <c r="A3" s="373" t="s">
        <v>83</v>
      </c>
      <c r="B3" s="361"/>
      <c r="C3" s="361"/>
      <c r="D3" s="361"/>
      <c r="E3" s="361"/>
      <c r="F3" s="361"/>
      <c r="G3" s="361"/>
      <c r="H3" s="289"/>
    </row>
    <row r="4" spans="1:8" ht="3.75" customHeight="1" x14ac:dyDescent="0.25">
      <c r="A4" s="2"/>
      <c r="B4" s="2"/>
      <c r="C4" s="2"/>
      <c r="D4" s="2"/>
      <c r="E4" s="2"/>
      <c r="F4" s="2"/>
      <c r="G4" s="2"/>
      <c r="H4" s="289"/>
    </row>
    <row r="5" spans="1:8" ht="15" customHeight="1" x14ac:dyDescent="0.25">
      <c r="A5" s="3" t="s">
        <v>84</v>
      </c>
      <c r="B5" s="3" t="s">
        <v>85</v>
      </c>
      <c r="C5" s="3" t="s">
        <v>86</v>
      </c>
      <c r="D5" s="3" t="s">
        <v>87</v>
      </c>
      <c r="E5" s="3" t="s">
        <v>88</v>
      </c>
      <c r="F5" s="4" t="s">
        <v>89</v>
      </c>
      <c r="G5" s="4" t="s">
        <v>90</v>
      </c>
      <c r="H5" s="290"/>
    </row>
    <row r="6" spans="1:8" ht="15" customHeight="1" x14ac:dyDescent="0.25">
      <c r="A6" s="371" t="s">
        <v>91</v>
      </c>
      <c r="B6" s="361"/>
      <c r="C6" s="361"/>
      <c r="D6" s="361"/>
      <c r="E6" s="371"/>
      <c r="F6" s="361"/>
      <c r="G6" s="361"/>
      <c r="H6" s="289"/>
    </row>
    <row r="7" spans="1:8" ht="15" customHeight="1" x14ac:dyDescent="0.25">
      <c r="A7" s="291" t="s">
        <v>92</v>
      </c>
      <c r="B7" s="5" t="s">
        <v>93</v>
      </c>
      <c r="C7" s="6" t="s">
        <v>94</v>
      </c>
      <c r="D7" s="7" t="s">
        <v>94</v>
      </c>
      <c r="E7" s="292" t="s">
        <v>95</v>
      </c>
      <c r="F7" s="8" t="s">
        <v>96</v>
      </c>
      <c r="G7" s="9" t="s">
        <v>97</v>
      </c>
      <c r="H7" s="289"/>
    </row>
    <row r="8" spans="1:8" ht="15" customHeight="1" x14ac:dyDescent="0.25">
      <c r="A8" s="17" t="s">
        <v>98</v>
      </c>
      <c r="B8" s="10" t="s">
        <v>99</v>
      </c>
      <c r="C8" s="11" t="s">
        <v>94</v>
      </c>
      <c r="D8" s="12" t="s">
        <v>94</v>
      </c>
      <c r="E8" s="292" t="s">
        <v>94</v>
      </c>
      <c r="F8" s="8" t="s">
        <v>94</v>
      </c>
      <c r="G8" s="13" t="s">
        <v>94</v>
      </c>
      <c r="H8" s="289"/>
    </row>
    <row r="9" spans="1:8" ht="15" customHeight="1" x14ac:dyDescent="0.25">
      <c r="A9" s="291" t="s">
        <v>100</v>
      </c>
      <c r="B9" s="5" t="s">
        <v>101</v>
      </c>
      <c r="C9" s="6" t="s">
        <v>102</v>
      </c>
      <c r="D9" s="7" t="s">
        <v>94</v>
      </c>
      <c r="E9" s="292" t="s">
        <v>103</v>
      </c>
      <c r="F9" s="8" t="s">
        <v>96</v>
      </c>
      <c r="G9" s="9" t="s">
        <v>104</v>
      </c>
      <c r="H9" s="289"/>
    </row>
    <row r="10" spans="1:8" ht="15" customHeight="1" x14ac:dyDescent="0.25">
      <c r="A10" s="375" t="s">
        <v>105</v>
      </c>
      <c r="B10" s="361"/>
      <c r="C10" s="361"/>
      <c r="D10" s="361"/>
      <c r="E10" s="375"/>
      <c r="F10" s="361"/>
      <c r="G10" s="361"/>
      <c r="H10" s="289"/>
    </row>
    <row r="11" spans="1:8" ht="15" customHeight="1" x14ac:dyDescent="0.25">
      <c r="A11" s="291" t="s">
        <v>106</v>
      </c>
      <c r="B11" s="5" t="s">
        <v>107</v>
      </c>
      <c r="C11" s="6" t="s">
        <v>108</v>
      </c>
      <c r="D11" s="7" t="s">
        <v>109</v>
      </c>
      <c r="E11" s="292" t="s">
        <v>110</v>
      </c>
      <c r="F11" s="8" t="s">
        <v>96</v>
      </c>
      <c r="G11" s="14" t="s">
        <v>111</v>
      </c>
      <c r="H11" s="289"/>
    </row>
    <row r="12" spans="1:8" ht="15" customHeight="1" x14ac:dyDescent="0.25">
      <c r="A12" s="17" t="s">
        <v>112</v>
      </c>
      <c r="B12" s="10" t="s">
        <v>113</v>
      </c>
      <c r="C12" s="11" t="s">
        <v>114</v>
      </c>
      <c r="D12" s="12" t="s">
        <v>115</v>
      </c>
      <c r="E12" s="293" t="s">
        <v>116</v>
      </c>
      <c r="F12" s="8" t="s">
        <v>96</v>
      </c>
      <c r="G12" s="14" t="s">
        <v>117</v>
      </c>
      <c r="H12" s="289"/>
    </row>
    <row r="13" spans="1:8" ht="15" customHeight="1" x14ac:dyDescent="0.25">
      <c r="A13" s="291" t="s">
        <v>118</v>
      </c>
      <c r="B13" s="5" t="s">
        <v>119</v>
      </c>
      <c r="C13" s="6" t="s">
        <v>120</v>
      </c>
      <c r="D13" s="7" t="s">
        <v>121</v>
      </c>
      <c r="E13" s="293" t="s">
        <v>116</v>
      </c>
      <c r="F13" s="8" t="s">
        <v>96</v>
      </c>
      <c r="G13" s="14" t="s">
        <v>122</v>
      </c>
      <c r="H13" s="289"/>
    </row>
    <row r="14" spans="1:8" ht="15" customHeight="1" x14ac:dyDescent="0.25">
      <c r="A14" s="17" t="s">
        <v>123</v>
      </c>
      <c r="B14" s="10" t="s">
        <v>124</v>
      </c>
      <c r="C14" s="11" t="s">
        <v>125</v>
      </c>
      <c r="D14" s="16" t="s">
        <v>126</v>
      </c>
      <c r="E14" s="293" t="s">
        <v>127</v>
      </c>
      <c r="F14" s="8" t="s">
        <v>96</v>
      </c>
      <c r="G14" s="14" t="s">
        <v>128</v>
      </c>
      <c r="H14" s="289"/>
    </row>
    <row r="15" spans="1:8" ht="15" customHeight="1" x14ac:dyDescent="0.25">
      <c r="A15" s="363" t="s">
        <v>129</v>
      </c>
      <c r="B15" s="361"/>
      <c r="C15" s="361"/>
      <c r="D15" s="361"/>
      <c r="E15" s="363"/>
      <c r="F15" s="361"/>
      <c r="G15" s="361"/>
      <c r="H15" s="289"/>
    </row>
    <row r="16" spans="1:8" ht="15" customHeight="1" x14ac:dyDescent="0.25">
      <c r="A16" s="17" t="s">
        <v>130</v>
      </c>
      <c r="B16" s="10" t="s">
        <v>131</v>
      </c>
      <c r="C16" s="11" t="s">
        <v>132</v>
      </c>
      <c r="D16" s="12" t="s">
        <v>133</v>
      </c>
      <c r="E16" s="293" t="s">
        <v>116</v>
      </c>
      <c r="F16" s="8" t="s">
        <v>96</v>
      </c>
      <c r="G16" s="14" t="s">
        <v>134</v>
      </c>
      <c r="H16" s="289"/>
    </row>
    <row r="17" spans="1:8" ht="15" customHeight="1" x14ac:dyDescent="0.25">
      <c r="A17" s="17" t="s">
        <v>135</v>
      </c>
      <c r="B17" s="18" t="s">
        <v>136</v>
      </c>
      <c r="C17" s="294" t="s">
        <v>137</v>
      </c>
      <c r="D17" s="20" t="s">
        <v>138</v>
      </c>
      <c r="E17" s="294" t="s">
        <v>127</v>
      </c>
      <c r="F17" s="8" t="s">
        <v>96</v>
      </c>
      <c r="G17" s="14" t="s">
        <v>139</v>
      </c>
      <c r="H17" s="289"/>
    </row>
    <row r="18" spans="1:8" ht="15" customHeight="1" x14ac:dyDescent="0.25">
      <c r="A18" s="291" t="s">
        <v>140</v>
      </c>
      <c r="B18" s="5" t="s">
        <v>141</v>
      </c>
      <c r="C18" s="6" t="s">
        <v>142</v>
      </c>
      <c r="D18" s="7" t="s">
        <v>143</v>
      </c>
      <c r="E18" s="293" t="s">
        <v>103</v>
      </c>
      <c r="F18" s="8" t="s">
        <v>96</v>
      </c>
      <c r="G18" s="14" t="s">
        <v>144</v>
      </c>
      <c r="H18" s="289"/>
    </row>
    <row r="19" spans="1:8" ht="15" customHeight="1" x14ac:dyDescent="0.25">
      <c r="A19" s="291" t="s">
        <v>145</v>
      </c>
      <c r="B19" s="5" t="s">
        <v>146</v>
      </c>
      <c r="C19" s="6" t="s">
        <v>147</v>
      </c>
      <c r="D19" s="7" t="s">
        <v>148</v>
      </c>
      <c r="E19" s="293" t="s">
        <v>103</v>
      </c>
      <c r="F19" s="8" t="s">
        <v>96</v>
      </c>
      <c r="G19" s="14" t="s">
        <v>149</v>
      </c>
      <c r="H19" s="289"/>
    </row>
    <row r="20" spans="1:8" ht="15" customHeight="1" x14ac:dyDescent="0.25">
      <c r="A20" s="17" t="s">
        <v>150</v>
      </c>
      <c r="B20" s="10" t="s">
        <v>151</v>
      </c>
      <c r="C20" s="11" t="s">
        <v>152</v>
      </c>
      <c r="D20" s="12" t="s">
        <v>153</v>
      </c>
      <c r="E20" s="293" t="s">
        <v>127</v>
      </c>
      <c r="F20" s="8" t="s">
        <v>96</v>
      </c>
      <c r="G20" s="14" t="s">
        <v>154</v>
      </c>
      <c r="H20" s="289"/>
    </row>
    <row r="21" spans="1:8" ht="15" customHeight="1" x14ac:dyDescent="0.25">
      <c r="A21" s="359" t="s">
        <v>155</v>
      </c>
      <c r="B21" s="18" t="s">
        <v>1346</v>
      </c>
      <c r="C21" s="294" t="s">
        <v>1348</v>
      </c>
      <c r="D21" s="12" t="s">
        <v>1349</v>
      </c>
      <c r="E21" s="15" t="s">
        <v>127</v>
      </c>
      <c r="F21" s="8" t="s">
        <v>96</v>
      </c>
      <c r="G21" s="14" t="s">
        <v>156</v>
      </c>
      <c r="H21" s="289"/>
    </row>
    <row r="22" spans="1:8" ht="15" customHeight="1" x14ac:dyDescent="0.25">
      <c r="A22" s="368" t="s">
        <v>157</v>
      </c>
      <c r="B22" s="365"/>
      <c r="C22" s="365"/>
      <c r="D22" s="365"/>
      <c r="E22" s="368"/>
      <c r="F22" s="365"/>
      <c r="G22" s="365"/>
      <c r="H22" s="289"/>
    </row>
    <row r="23" spans="1:8" ht="15" customHeight="1" x14ac:dyDescent="0.25">
      <c r="A23" s="17" t="s">
        <v>158</v>
      </c>
      <c r="B23" s="10" t="s">
        <v>159</v>
      </c>
      <c r="C23" s="11" t="s">
        <v>160</v>
      </c>
      <c r="D23" s="12" t="s">
        <v>161</v>
      </c>
      <c r="E23" s="293" t="s">
        <v>103</v>
      </c>
      <c r="F23" s="8" t="s">
        <v>96</v>
      </c>
      <c r="G23" s="14" t="s">
        <v>162</v>
      </c>
      <c r="H23" s="289"/>
    </row>
    <row r="24" spans="1:8" ht="15" customHeight="1" x14ac:dyDescent="0.25">
      <c r="A24" s="17" t="s">
        <v>163</v>
      </c>
      <c r="B24" s="18" t="s">
        <v>1347</v>
      </c>
      <c r="C24" s="294" t="s">
        <v>226</v>
      </c>
      <c r="D24" s="12" t="s">
        <v>1350</v>
      </c>
      <c r="E24" s="15" t="s">
        <v>116</v>
      </c>
      <c r="F24" s="8" t="s">
        <v>96</v>
      </c>
      <c r="G24" s="14" t="s">
        <v>164</v>
      </c>
      <c r="H24" s="289"/>
    </row>
    <row r="25" spans="1:8" ht="15" customHeight="1" x14ac:dyDescent="0.25">
      <c r="A25" s="364" t="s">
        <v>165</v>
      </c>
      <c r="B25" s="365"/>
      <c r="C25" s="365"/>
      <c r="D25" s="365"/>
      <c r="E25" s="364"/>
      <c r="F25" s="365"/>
      <c r="G25" s="365"/>
      <c r="H25" s="289"/>
    </row>
    <row r="26" spans="1:8" ht="15" customHeight="1" x14ac:dyDescent="0.25">
      <c r="A26" s="291" t="s">
        <v>166</v>
      </c>
      <c r="B26" s="5" t="s">
        <v>167</v>
      </c>
      <c r="C26" s="6" t="s">
        <v>168</v>
      </c>
      <c r="D26" s="6" t="s">
        <v>94</v>
      </c>
      <c r="E26" s="293" t="s">
        <v>103</v>
      </c>
      <c r="F26" s="8" t="s">
        <v>96</v>
      </c>
      <c r="G26" s="23" t="s">
        <v>139</v>
      </c>
      <c r="H26" s="289"/>
    </row>
    <row r="27" spans="1:8" ht="15" customHeight="1" x14ac:dyDescent="0.25">
      <c r="A27" s="17" t="s">
        <v>169</v>
      </c>
      <c r="B27" s="18" t="s">
        <v>170</v>
      </c>
      <c r="C27" s="19" t="s">
        <v>168</v>
      </c>
      <c r="D27" s="19" t="s">
        <v>94</v>
      </c>
      <c r="E27" s="294" t="s">
        <v>116</v>
      </c>
      <c r="F27" s="8" t="s">
        <v>96</v>
      </c>
      <c r="G27" s="23" t="s">
        <v>171</v>
      </c>
      <c r="H27" s="289"/>
    </row>
    <row r="28" spans="1:8" ht="15" customHeight="1" x14ac:dyDescent="0.25">
      <c r="A28" s="372" t="s">
        <v>172</v>
      </c>
      <c r="B28" s="361"/>
      <c r="C28" s="361"/>
      <c r="D28" s="361"/>
      <c r="H28" s="289"/>
    </row>
    <row r="29" spans="1:8" ht="15" customHeight="1" x14ac:dyDescent="0.25">
      <c r="A29" s="25" t="s">
        <v>173</v>
      </c>
      <c r="B29" s="26" t="s">
        <v>174</v>
      </c>
      <c r="H29" s="289"/>
    </row>
    <row r="30" spans="1:8" ht="15" customHeight="1" x14ac:dyDescent="0.25">
      <c r="A30" s="25" t="s">
        <v>175</v>
      </c>
      <c r="B30" s="26" t="s">
        <v>176</v>
      </c>
      <c r="H30" s="289"/>
    </row>
    <row r="31" spans="1:8" ht="15" customHeight="1" x14ac:dyDescent="0.25">
      <c r="A31" s="25" t="s">
        <v>177</v>
      </c>
      <c r="B31" s="26" t="s">
        <v>178</v>
      </c>
      <c r="H31" s="289"/>
    </row>
    <row r="32" spans="1:8" ht="15" customHeight="1" x14ac:dyDescent="0.25">
      <c r="A32" s="27" t="s">
        <v>179</v>
      </c>
      <c r="B32" s="28" t="s">
        <v>180</v>
      </c>
      <c r="H32" s="289"/>
    </row>
    <row r="33" spans="1:8" ht="15" customHeight="1" x14ac:dyDescent="0.25">
      <c r="A33" s="366" t="s">
        <v>181</v>
      </c>
      <c r="B33" s="361"/>
      <c r="C33" s="361"/>
      <c r="D33" s="361"/>
      <c r="E33" s="361"/>
      <c r="F33" s="361"/>
      <c r="G33" s="361"/>
      <c r="H33" s="289"/>
    </row>
    <row r="34" spans="1:8" ht="15" customHeight="1" x14ac:dyDescent="0.3">
      <c r="A34" s="282" t="s">
        <v>182</v>
      </c>
      <c r="B34" s="283" t="s">
        <v>183</v>
      </c>
      <c r="C34" s="30" t="s">
        <v>184</v>
      </c>
      <c r="D34" s="284" t="s">
        <v>184</v>
      </c>
      <c r="H34" s="289"/>
    </row>
    <row r="35" spans="1:8" ht="15" customHeight="1" x14ac:dyDescent="0.25">
      <c r="A35" s="285" t="s">
        <v>185</v>
      </c>
      <c r="B35" s="284" t="s">
        <v>186</v>
      </c>
      <c r="H35" s="289"/>
    </row>
    <row r="36" spans="1:8" ht="15" customHeight="1" x14ac:dyDescent="0.25">
      <c r="H36" s="289"/>
    </row>
    <row r="37" spans="1:8" ht="15" customHeight="1" x14ac:dyDescent="0.25">
      <c r="A37" s="286" t="s">
        <v>187</v>
      </c>
      <c r="B37" s="287" t="s">
        <v>188</v>
      </c>
      <c r="C37" s="288" t="s">
        <v>189</v>
      </c>
      <c r="D37" s="283" t="s">
        <v>190</v>
      </c>
      <c r="H37" s="289"/>
    </row>
    <row r="38" spans="1:8" ht="15" customHeight="1" x14ac:dyDescent="0.25">
      <c r="H38" s="289"/>
    </row>
    <row r="39" spans="1:8" ht="15" customHeight="1" x14ac:dyDescent="0.25">
      <c r="A39" s="362" t="s">
        <v>191</v>
      </c>
      <c r="B39" s="361"/>
      <c r="C39" s="361"/>
      <c r="D39" s="361"/>
      <c r="E39" s="361"/>
      <c r="F39" s="361"/>
      <c r="G39" s="361"/>
      <c r="H39" s="289"/>
    </row>
    <row r="40" spans="1:8" ht="15" customHeight="1" x14ac:dyDescent="0.25">
      <c r="A40" s="370" t="s">
        <v>1323</v>
      </c>
      <c r="B40" s="361"/>
      <c r="C40" s="361"/>
      <c r="D40" s="361"/>
      <c r="E40" s="361"/>
      <c r="F40" s="361"/>
      <c r="G40" s="361"/>
      <c r="H40" s="289"/>
    </row>
    <row r="41" spans="1:8" ht="15" customHeight="1" x14ac:dyDescent="0.25">
      <c r="H41" s="289"/>
    </row>
    <row r="42" spans="1:8" ht="15" customHeight="1" x14ac:dyDescent="0.25">
      <c r="A42" s="367" t="s">
        <v>192</v>
      </c>
      <c r="B42" s="361"/>
      <c r="C42" s="361"/>
      <c r="D42" s="361"/>
      <c r="E42" s="361"/>
      <c r="F42" s="361"/>
      <c r="G42" s="361"/>
      <c r="H42" s="289"/>
    </row>
    <row r="43" spans="1:8" ht="15" customHeight="1" x14ac:dyDescent="0.25">
      <c r="A43" s="360" t="s">
        <v>193</v>
      </c>
      <c r="B43" s="361"/>
      <c r="C43" s="361"/>
      <c r="D43" s="361"/>
      <c r="E43" s="361"/>
      <c r="F43" s="361"/>
      <c r="G43" s="361"/>
      <c r="H43" s="289"/>
    </row>
    <row r="44" spans="1:8" ht="15" customHeight="1" x14ac:dyDescent="0.25">
      <c r="A44" s="360" t="s">
        <v>194</v>
      </c>
      <c r="B44" s="361"/>
      <c r="C44" s="361"/>
      <c r="D44" s="361"/>
      <c r="E44" s="361"/>
      <c r="F44" s="361"/>
      <c r="G44" s="361"/>
      <c r="H44" s="289"/>
    </row>
    <row r="45" spans="1:8" ht="15" customHeight="1" x14ac:dyDescent="0.25">
      <c r="A45" s="360" t="s">
        <v>195</v>
      </c>
      <c r="B45" s="361"/>
      <c r="C45" s="361"/>
      <c r="D45" s="361"/>
      <c r="E45" s="361"/>
      <c r="F45" s="361"/>
      <c r="G45" s="361"/>
      <c r="H45" s="289"/>
    </row>
  </sheetData>
  <mergeCells count="21">
    <mergeCell ref="A1:G1"/>
    <mergeCell ref="A40:G40"/>
    <mergeCell ref="A6:D6"/>
    <mergeCell ref="A22:D22"/>
    <mergeCell ref="A28:D28"/>
    <mergeCell ref="A3:G3"/>
    <mergeCell ref="A2:G2"/>
    <mergeCell ref="A10:D10"/>
    <mergeCell ref="E6:G6"/>
    <mergeCell ref="E10:G10"/>
    <mergeCell ref="A45:G45"/>
    <mergeCell ref="A39:G39"/>
    <mergeCell ref="A15:D15"/>
    <mergeCell ref="A25:D25"/>
    <mergeCell ref="A43:G43"/>
    <mergeCell ref="A33:G33"/>
    <mergeCell ref="A42:G42"/>
    <mergeCell ref="E15:G15"/>
    <mergeCell ref="E22:G22"/>
    <mergeCell ref="E25:G25"/>
    <mergeCell ref="A44:G44"/>
  </mergeCells>
  <dataValidations count="2">
    <dataValidation type="list" allowBlank="1" showInputMessage="1" showErrorMessage="1" sqref="G25 G22" xr:uid="{00000000-0002-0000-0000-000000000000}">
      <formula1>"☐ Not Started,🔄 In Progress,✅ Complete,⏭ Skipped"</formula1>
      <formula2>0</formula2>
    </dataValidation>
    <dataValidation type="list" allowBlank="1" showInputMessage="1" showErrorMessage="1" errorTitle="Invalid Status" error="Please select a status from the dropdown list." promptTitle="Status" prompt="Select your progress status" sqref="F7 F26:F27 F23:F24 F16:F21 F11:F14 F9" xr:uid="{3CD281E3-070C-481D-B7E1-EFC400367F8B}">
      <formula1>"☐ Not Started,🔄 In Progress,✅ Complete,⏸ N/A"</formula1>
    </dataValidation>
  </dataValidations>
  <hyperlinks>
    <hyperlink ref="A7" location="'Client Info'!A1" display="Client Info" xr:uid="{00000000-0004-0000-0000-000000000000}"/>
    <hyperlink ref="A8" location="'Instructions'!A1" display="Instructions" xr:uid="{00000000-0004-0000-0000-000001000000}"/>
    <hyperlink ref="A9" location="'Document Checklist'!A1" display="Document Checklist" xr:uid="{00000000-0004-0000-0000-000002000000}"/>
    <hyperlink ref="A11" location="'Expense Report'!A1" display="Expense Report" xr:uid="{00000000-0004-0000-0000-000003000000}"/>
    <hyperlink ref="A12" location="'14-Day Rental'!A1" display="14-Day Rental" xr:uid="{00000000-0004-0000-0000-000004000000}"/>
    <hyperlink ref="A13" location="'Family Employment'!A1" display="Family Employment" xr:uid="{00000000-0004-0000-0000-000005000000}"/>
    <hyperlink ref="A14" location="'Crypto Tracker'!A1" display="Crypto Tracker" xr:uid="{00000000-0004-0000-0000-000006000000}"/>
    <hyperlink ref="A16" location="'Equipment'!A1" display="Equipment" xr:uid="{00000000-0004-0000-0000-000007000000}"/>
    <hyperlink ref="A17" location="'Schedule E'!A1" display="Schedule E" xr:uid="{00000000-0004-0000-0000-000008000000}"/>
    <hyperlink ref="A18" location="'Home Office'!A1" display="Home Office" xr:uid="{00000000-0004-0000-0000-000009000000}"/>
    <hyperlink ref="A19" location="'Vehicle Mileage'!A1" display="Vehicle Mileage" xr:uid="{00000000-0004-0000-0000-00000A000000}"/>
    <hyperlink ref="A20" location="'Timing &amp; Loss Harvest'!A1" display="Timing &amp; Loss Harvest" xr:uid="{00000000-0004-0000-0000-00000B000000}"/>
    <hyperlink ref="A21" location="'Family Co &amp; Advisors'!A1" display="Family Co &amp; Advisors" xr:uid="{00000000-0004-0000-0000-00000C000000}"/>
    <hyperlink ref="A23" location="'Health &amp; HSA'!A1" display="Health &amp; HSA" xr:uid="{00000000-0004-0000-0000-00000D000000}"/>
    <hyperlink ref="A24" location="'Retirement Contributions'!A1" display="Retirement Contributions" xr:uid="{00000000-0004-0000-0000-00000E000000}"/>
    <hyperlink ref="A26" location="'Annual Summary'!A1" display="Annual Summary" xr:uid="{00000000-0004-0000-0000-00000F000000}"/>
    <hyperlink ref="A27" location="'Estimated Taxes'!A1" display="Estimated Taxes" xr:uid="{00000000-0004-0000-0000-000010000000}"/>
  </hyperlinks>
  <pageMargins left="0.5" right="0.5" top="0.75" bottom="0.75" header="0.3" footer="0.3"/>
  <pageSetup fitToHeight="0" orientation="portrait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E40AF"/>
    <pageSetUpPr fitToPage="1"/>
  </sheetPr>
  <dimension ref="A1:J86"/>
  <sheetViews>
    <sheetView zoomScaleNormal="100" workbookViewId="0">
      <pane ySplit="6" topLeftCell="A7" activePane="bottomLeft" state="frozen"/>
      <selection pane="bottomLeft" sqref="A1:J1"/>
    </sheetView>
  </sheetViews>
  <sheetFormatPr defaultColWidth="8.7109375" defaultRowHeight="15" x14ac:dyDescent="0.25"/>
  <cols>
    <col min="1" max="1" width="22" customWidth="1"/>
    <col min="2" max="9" width="14" customWidth="1"/>
    <col min="10" max="10" width="18" customWidth="1"/>
  </cols>
  <sheetData>
    <row r="1" spans="1:10" ht="21.75" customHeight="1" x14ac:dyDescent="0.35">
      <c r="A1" s="434" t="s">
        <v>751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15" customHeight="1" x14ac:dyDescent="0.25">
      <c r="A2" s="439" t="s">
        <v>752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ht="15" customHeight="1" x14ac:dyDescent="0.25">
      <c r="A3" s="33" t="s">
        <v>753</v>
      </c>
    </row>
    <row r="4" spans="1:10" ht="15" customHeight="1" x14ac:dyDescent="0.25">
      <c r="A4" s="437" t="s">
        <v>754</v>
      </c>
      <c r="B4" s="361"/>
      <c r="C4" s="361"/>
      <c r="D4" s="361"/>
      <c r="E4" s="361"/>
      <c r="F4" s="361"/>
      <c r="G4" s="361"/>
      <c r="H4" s="361"/>
      <c r="I4" s="361"/>
      <c r="J4" s="361"/>
    </row>
    <row r="5" spans="1:10" ht="15" customHeight="1" x14ac:dyDescent="0.25">
      <c r="A5" s="440" t="s">
        <v>755</v>
      </c>
      <c r="B5" s="361"/>
      <c r="C5" s="361"/>
      <c r="D5" s="361"/>
      <c r="E5" s="361"/>
      <c r="F5" s="361"/>
      <c r="G5" s="361"/>
      <c r="H5" s="361"/>
      <c r="I5" s="361"/>
      <c r="J5" s="361"/>
    </row>
    <row r="6" spans="1:10" ht="15" customHeight="1" x14ac:dyDescent="0.25">
      <c r="A6" s="102" t="s">
        <v>756</v>
      </c>
      <c r="B6" s="102" t="s">
        <v>639</v>
      </c>
      <c r="C6" s="102" t="s">
        <v>757</v>
      </c>
      <c r="D6" s="102" t="s">
        <v>758</v>
      </c>
      <c r="E6" s="102" t="s">
        <v>759</v>
      </c>
      <c r="F6" s="102" t="s">
        <v>760</v>
      </c>
      <c r="G6" s="102" t="s">
        <v>761</v>
      </c>
      <c r="H6" s="102" t="s">
        <v>762</v>
      </c>
      <c r="I6" s="102" t="s">
        <v>763</v>
      </c>
      <c r="J6" s="102" t="s">
        <v>764</v>
      </c>
    </row>
    <row r="7" spans="1:10" ht="15" customHeight="1" x14ac:dyDescent="0.25">
      <c r="A7" s="126"/>
      <c r="B7" s="126"/>
      <c r="C7" s="126"/>
      <c r="D7" s="126"/>
      <c r="E7" s="127"/>
      <c r="F7" s="127"/>
      <c r="G7" s="127">
        <f t="shared" ref="G7:G26" si="0">IFERROR(E7-F7,0)</f>
        <v>0</v>
      </c>
      <c r="H7" s="126" t="str">
        <f t="shared" ref="H7:H26" si="1">IFERROR(IF(C7-B7&gt;365,"Long-term","Short-term"),"")</f>
        <v>Short-term</v>
      </c>
      <c r="I7" s="126"/>
      <c r="J7" s="128" t="str">
        <f t="shared" ref="J7:J26" si="2">IFERROR(IF(H7="Long-term","LTCG (0/15/20%)","Ordinary rates"),"")</f>
        <v>Ordinary rates</v>
      </c>
    </row>
    <row r="8" spans="1:10" ht="15" customHeight="1" x14ac:dyDescent="0.25">
      <c r="A8" s="126"/>
      <c r="B8" s="126"/>
      <c r="C8" s="126"/>
      <c r="D8" s="126"/>
      <c r="E8" s="127"/>
      <c r="F8" s="127"/>
      <c r="G8" s="127">
        <f t="shared" si="0"/>
        <v>0</v>
      </c>
      <c r="H8" s="126" t="str">
        <f t="shared" si="1"/>
        <v>Short-term</v>
      </c>
      <c r="I8" s="126"/>
      <c r="J8" s="129" t="str">
        <f t="shared" si="2"/>
        <v>Ordinary rates</v>
      </c>
    </row>
    <row r="9" spans="1:10" ht="15" customHeight="1" x14ac:dyDescent="0.25">
      <c r="A9" s="126"/>
      <c r="B9" s="126"/>
      <c r="C9" s="126"/>
      <c r="D9" s="126"/>
      <c r="E9" s="127"/>
      <c r="F9" s="127"/>
      <c r="G9" s="127">
        <f t="shared" si="0"/>
        <v>0</v>
      </c>
      <c r="H9" s="126" t="str">
        <f t="shared" si="1"/>
        <v>Short-term</v>
      </c>
      <c r="I9" s="126"/>
      <c r="J9" s="128" t="str">
        <f t="shared" si="2"/>
        <v>Ordinary rates</v>
      </c>
    </row>
    <row r="10" spans="1:10" ht="15" customHeight="1" x14ac:dyDescent="0.25">
      <c r="A10" s="126"/>
      <c r="B10" s="126"/>
      <c r="C10" s="126"/>
      <c r="D10" s="126"/>
      <c r="E10" s="127"/>
      <c r="F10" s="127"/>
      <c r="G10" s="127">
        <f t="shared" si="0"/>
        <v>0</v>
      </c>
      <c r="H10" s="126" t="str">
        <f t="shared" si="1"/>
        <v>Short-term</v>
      </c>
      <c r="I10" s="126"/>
      <c r="J10" s="129" t="str">
        <f t="shared" si="2"/>
        <v>Ordinary rates</v>
      </c>
    </row>
    <row r="11" spans="1:10" ht="15" customHeight="1" x14ac:dyDescent="0.25">
      <c r="A11" s="126"/>
      <c r="B11" s="126"/>
      <c r="C11" s="126"/>
      <c r="D11" s="126"/>
      <c r="E11" s="127"/>
      <c r="F11" s="127"/>
      <c r="G11" s="127">
        <f t="shared" si="0"/>
        <v>0</v>
      </c>
      <c r="H11" s="126" t="str">
        <f t="shared" si="1"/>
        <v>Short-term</v>
      </c>
      <c r="I11" s="126"/>
      <c r="J11" s="128" t="str">
        <f t="shared" si="2"/>
        <v>Ordinary rates</v>
      </c>
    </row>
    <row r="12" spans="1:10" ht="15" customHeight="1" x14ac:dyDescent="0.25">
      <c r="A12" s="126"/>
      <c r="B12" s="126"/>
      <c r="C12" s="126"/>
      <c r="D12" s="126"/>
      <c r="E12" s="127"/>
      <c r="F12" s="127"/>
      <c r="G12" s="127">
        <f t="shared" si="0"/>
        <v>0</v>
      </c>
      <c r="H12" s="126" t="str">
        <f t="shared" si="1"/>
        <v>Short-term</v>
      </c>
      <c r="I12" s="126"/>
      <c r="J12" s="129" t="str">
        <f t="shared" si="2"/>
        <v>Ordinary rates</v>
      </c>
    </row>
    <row r="13" spans="1:10" ht="15" customHeight="1" x14ac:dyDescent="0.25">
      <c r="A13" s="126"/>
      <c r="B13" s="126"/>
      <c r="C13" s="126"/>
      <c r="D13" s="126"/>
      <c r="E13" s="127"/>
      <c r="F13" s="127"/>
      <c r="G13" s="127">
        <f t="shared" si="0"/>
        <v>0</v>
      </c>
      <c r="H13" s="126" t="str">
        <f t="shared" si="1"/>
        <v>Short-term</v>
      </c>
      <c r="I13" s="126"/>
      <c r="J13" s="128" t="str">
        <f t="shared" si="2"/>
        <v>Ordinary rates</v>
      </c>
    </row>
    <row r="14" spans="1:10" ht="15" customHeight="1" x14ac:dyDescent="0.25">
      <c r="A14" s="126"/>
      <c r="B14" s="126"/>
      <c r="C14" s="126"/>
      <c r="D14" s="126"/>
      <c r="E14" s="127"/>
      <c r="F14" s="127"/>
      <c r="G14" s="127">
        <f t="shared" si="0"/>
        <v>0</v>
      </c>
      <c r="H14" s="126" t="str">
        <f t="shared" si="1"/>
        <v>Short-term</v>
      </c>
      <c r="I14" s="126"/>
      <c r="J14" s="129" t="str">
        <f t="shared" si="2"/>
        <v>Ordinary rates</v>
      </c>
    </row>
    <row r="15" spans="1:10" ht="15" customHeight="1" x14ac:dyDescent="0.25">
      <c r="A15" s="126"/>
      <c r="B15" s="126"/>
      <c r="C15" s="126"/>
      <c r="D15" s="126"/>
      <c r="E15" s="127"/>
      <c r="F15" s="127"/>
      <c r="G15" s="127">
        <f t="shared" si="0"/>
        <v>0</v>
      </c>
      <c r="H15" s="126" t="str">
        <f t="shared" si="1"/>
        <v>Short-term</v>
      </c>
      <c r="I15" s="126"/>
      <c r="J15" s="128" t="str">
        <f t="shared" si="2"/>
        <v>Ordinary rates</v>
      </c>
    </row>
    <row r="16" spans="1:10" ht="15" customHeight="1" x14ac:dyDescent="0.25">
      <c r="A16" s="126"/>
      <c r="B16" s="126"/>
      <c r="C16" s="126"/>
      <c r="D16" s="126"/>
      <c r="E16" s="127"/>
      <c r="F16" s="127"/>
      <c r="G16" s="127">
        <f t="shared" si="0"/>
        <v>0</v>
      </c>
      <c r="H16" s="126" t="str">
        <f t="shared" si="1"/>
        <v>Short-term</v>
      </c>
      <c r="I16" s="126"/>
      <c r="J16" s="129" t="str">
        <f t="shared" si="2"/>
        <v>Ordinary rates</v>
      </c>
    </row>
    <row r="17" spans="1:10" ht="15" customHeight="1" x14ac:dyDescent="0.25">
      <c r="A17" s="126"/>
      <c r="B17" s="126"/>
      <c r="C17" s="126"/>
      <c r="D17" s="126"/>
      <c r="E17" s="127"/>
      <c r="F17" s="127"/>
      <c r="G17" s="127">
        <f t="shared" si="0"/>
        <v>0</v>
      </c>
      <c r="H17" s="126" t="str">
        <f t="shared" si="1"/>
        <v>Short-term</v>
      </c>
      <c r="I17" s="126"/>
      <c r="J17" s="128" t="str">
        <f t="shared" si="2"/>
        <v>Ordinary rates</v>
      </c>
    </row>
    <row r="18" spans="1:10" ht="15" customHeight="1" x14ac:dyDescent="0.25">
      <c r="A18" s="126"/>
      <c r="B18" s="126"/>
      <c r="C18" s="126"/>
      <c r="D18" s="126"/>
      <c r="E18" s="127"/>
      <c r="F18" s="127"/>
      <c r="G18" s="127">
        <f t="shared" si="0"/>
        <v>0</v>
      </c>
      <c r="H18" s="126" t="str">
        <f t="shared" si="1"/>
        <v>Short-term</v>
      </c>
      <c r="I18" s="126"/>
      <c r="J18" s="129" t="str">
        <f t="shared" si="2"/>
        <v>Ordinary rates</v>
      </c>
    </row>
    <row r="19" spans="1:10" ht="15" customHeight="1" x14ac:dyDescent="0.25">
      <c r="A19" s="126"/>
      <c r="B19" s="126"/>
      <c r="C19" s="126"/>
      <c r="D19" s="126"/>
      <c r="E19" s="127"/>
      <c r="F19" s="127"/>
      <c r="G19" s="127">
        <f t="shared" si="0"/>
        <v>0</v>
      </c>
      <c r="H19" s="126" t="str">
        <f t="shared" si="1"/>
        <v>Short-term</v>
      </c>
      <c r="I19" s="126"/>
      <c r="J19" s="128" t="str">
        <f t="shared" si="2"/>
        <v>Ordinary rates</v>
      </c>
    </row>
    <row r="20" spans="1:10" ht="15" customHeight="1" x14ac:dyDescent="0.25">
      <c r="A20" s="126"/>
      <c r="B20" s="126"/>
      <c r="C20" s="126"/>
      <c r="D20" s="126"/>
      <c r="E20" s="127"/>
      <c r="F20" s="127"/>
      <c r="G20" s="127">
        <f t="shared" si="0"/>
        <v>0</v>
      </c>
      <c r="H20" s="126" t="str">
        <f t="shared" si="1"/>
        <v>Short-term</v>
      </c>
      <c r="I20" s="126"/>
      <c r="J20" s="129" t="str">
        <f t="shared" si="2"/>
        <v>Ordinary rates</v>
      </c>
    </row>
    <row r="21" spans="1:10" ht="15" customHeight="1" x14ac:dyDescent="0.25">
      <c r="A21" s="126"/>
      <c r="B21" s="126"/>
      <c r="C21" s="126"/>
      <c r="D21" s="126"/>
      <c r="E21" s="127"/>
      <c r="F21" s="127"/>
      <c r="G21" s="127">
        <f t="shared" si="0"/>
        <v>0</v>
      </c>
      <c r="H21" s="126" t="str">
        <f t="shared" si="1"/>
        <v>Short-term</v>
      </c>
      <c r="I21" s="126"/>
      <c r="J21" s="128" t="str">
        <f t="shared" si="2"/>
        <v>Ordinary rates</v>
      </c>
    </row>
    <row r="22" spans="1:10" ht="15" customHeight="1" x14ac:dyDescent="0.25">
      <c r="A22" s="126"/>
      <c r="B22" s="126"/>
      <c r="C22" s="126"/>
      <c r="D22" s="126"/>
      <c r="E22" s="127"/>
      <c r="F22" s="127"/>
      <c r="G22" s="127">
        <f t="shared" si="0"/>
        <v>0</v>
      </c>
      <c r="H22" s="126" t="str">
        <f t="shared" si="1"/>
        <v>Short-term</v>
      </c>
      <c r="I22" s="126"/>
      <c r="J22" s="129" t="str">
        <f t="shared" si="2"/>
        <v>Ordinary rates</v>
      </c>
    </row>
    <row r="23" spans="1:10" ht="15" customHeight="1" x14ac:dyDescent="0.25">
      <c r="A23" s="126"/>
      <c r="B23" s="126"/>
      <c r="C23" s="126"/>
      <c r="D23" s="126"/>
      <c r="E23" s="127"/>
      <c r="F23" s="127"/>
      <c r="G23" s="127">
        <f t="shared" si="0"/>
        <v>0</v>
      </c>
      <c r="H23" s="126" t="str">
        <f t="shared" si="1"/>
        <v>Short-term</v>
      </c>
      <c r="I23" s="126"/>
      <c r="J23" s="128" t="str">
        <f t="shared" si="2"/>
        <v>Ordinary rates</v>
      </c>
    </row>
    <row r="24" spans="1:10" ht="15" customHeight="1" x14ac:dyDescent="0.25">
      <c r="A24" s="126"/>
      <c r="B24" s="126"/>
      <c r="C24" s="126"/>
      <c r="D24" s="126"/>
      <c r="E24" s="127"/>
      <c r="F24" s="127"/>
      <c r="G24" s="127">
        <f t="shared" si="0"/>
        <v>0</v>
      </c>
      <c r="H24" s="126" t="str">
        <f t="shared" si="1"/>
        <v>Short-term</v>
      </c>
      <c r="I24" s="126"/>
      <c r="J24" s="129" t="str">
        <f t="shared" si="2"/>
        <v>Ordinary rates</v>
      </c>
    </row>
    <row r="25" spans="1:10" ht="15" customHeight="1" x14ac:dyDescent="0.25">
      <c r="A25" s="126"/>
      <c r="B25" s="126"/>
      <c r="C25" s="126"/>
      <c r="D25" s="126"/>
      <c r="E25" s="127"/>
      <c r="F25" s="127"/>
      <c r="G25" s="127">
        <f t="shared" si="0"/>
        <v>0</v>
      </c>
      <c r="H25" s="126" t="str">
        <f t="shared" si="1"/>
        <v>Short-term</v>
      </c>
      <c r="I25" s="126"/>
      <c r="J25" s="128" t="str">
        <f t="shared" si="2"/>
        <v>Ordinary rates</v>
      </c>
    </row>
    <row r="26" spans="1:10" ht="15" customHeight="1" x14ac:dyDescent="0.25">
      <c r="A26" s="126"/>
      <c r="B26" s="126"/>
      <c r="C26" s="126"/>
      <c r="D26" s="126"/>
      <c r="E26" s="127"/>
      <c r="F26" s="127"/>
      <c r="G26" s="127">
        <f t="shared" si="0"/>
        <v>0</v>
      </c>
      <c r="H26" s="126" t="str">
        <f t="shared" si="1"/>
        <v>Short-term</v>
      </c>
      <c r="I26" s="126"/>
      <c r="J26" s="129" t="str">
        <f t="shared" si="2"/>
        <v>Ordinary rates</v>
      </c>
    </row>
    <row r="27" spans="1:10" ht="15" customHeight="1" x14ac:dyDescent="0.25">
      <c r="A27" s="438" t="s">
        <v>765</v>
      </c>
      <c r="B27" s="361"/>
      <c r="C27" s="361"/>
      <c r="D27" s="361"/>
      <c r="E27" s="361"/>
      <c r="F27" s="361"/>
      <c r="G27" s="361"/>
      <c r="H27" s="361"/>
      <c r="I27" s="361"/>
      <c r="J27" s="361"/>
    </row>
    <row r="28" spans="1:10" ht="15" customHeight="1" x14ac:dyDescent="0.25">
      <c r="A28" s="131" t="s">
        <v>766</v>
      </c>
      <c r="B28" s="109"/>
      <c r="C28" s="109"/>
      <c r="D28" s="109"/>
      <c r="E28" s="109"/>
      <c r="F28" s="109"/>
      <c r="G28" s="109"/>
      <c r="H28" s="109"/>
      <c r="I28" s="109"/>
      <c r="J28" s="109"/>
    </row>
    <row r="29" spans="1:10" ht="15" customHeight="1" x14ac:dyDescent="0.25">
      <c r="A29" s="132" t="s">
        <v>767</v>
      </c>
      <c r="E29" s="316">
        <f>SUM(E7:E26)</f>
        <v>0</v>
      </c>
    </row>
    <row r="30" spans="1:10" ht="15" customHeight="1" x14ac:dyDescent="0.25">
      <c r="A30" s="132" t="s">
        <v>693</v>
      </c>
      <c r="E30" s="316">
        <f>SUM(F7:F26)</f>
        <v>0</v>
      </c>
    </row>
    <row r="31" spans="1:10" ht="15" customHeight="1" x14ac:dyDescent="0.25">
      <c r="A31" s="133" t="s">
        <v>768</v>
      </c>
      <c r="E31" s="317">
        <f>SUM(G7:G26)</f>
        <v>0</v>
      </c>
    </row>
    <row r="32" spans="1:10" ht="15" customHeight="1" x14ac:dyDescent="0.25">
      <c r="A32" s="134" t="s">
        <v>769</v>
      </c>
      <c r="E32" s="316">
        <f>SUMPRODUCT((H7:H26="Short-term")*(G7:G26&gt;0)*G7:G26)</f>
        <v>0</v>
      </c>
    </row>
    <row r="33" spans="1:10" ht="15" customHeight="1" x14ac:dyDescent="0.25">
      <c r="A33" s="134" t="s">
        <v>770</v>
      </c>
      <c r="E33" s="316">
        <f>SUMPRODUCT((H7:H26="Short-term")*(G7:G26&lt;0)*G7:G26)</f>
        <v>0</v>
      </c>
    </row>
    <row r="34" spans="1:10" ht="15" customHeight="1" x14ac:dyDescent="0.25">
      <c r="A34" s="134" t="s">
        <v>771</v>
      </c>
      <c r="E34" s="316">
        <f>SUMPRODUCT((H7:H26="Long-term")*(G7:G26&gt;0)*G7:G26)</f>
        <v>0</v>
      </c>
    </row>
    <row r="35" spans="1:10" ht="15" customHeight="1" x14ac:dyDescent="0.25">
      <c r="A35" s="134" t="s">
        <v>772</v>
      </c>
      <c r="E35" s="316">
        <f>SUMPRODUCT((H7:H26="Long-term")*(G7:G26&lt;0)*G7:G26)</f>
        <v>0</v>
      </c>
    </row>
    <row r="37" spans="1:10" ht="15" customHeight="1" x14ac:dyDescent="0.25">
      <c r="A37" s="436" t="s">
        <v>773</v>
      </c>
      <c r="B37" s="361"/>
      <c r="C37" s="361"/>
      <c r="D37" s="361"/>
      <c r="E37" s="361"/>
      <c r="F37" s="361"/>
      <c r="G37" s="361"/>
      <c r="H37" s="361"/>
      <c r="I37" s="361"/>
      <c r="J37" s="361"/>
    </row>
    <row r="38" spans="1:10" ht="15" customHeight="1" x14ac:dyDescent="0.25">
      <c r="A38" s="438" t="s">
        <v>774</v>
      </c>
      <c r="B38" s="361"/>
      <c r="C38" s="361"/>
      <c r="D38" s="361"/>
      <c r="E38" s="361"/>
      <c r="F38" s="361"/>
      <c r="G38" s="361"/>
      <c r="H38" s="361"/>
      <c r="I38" s="361"/>
      <c r="J38" s="361"/>
    </row>
    <row r="39" spans="1:10" ht="15" customHeight="1" x14ac:dyDescent="0.25">
      <c r="A39" s="102" t="s">
        <v>775</v>
      </c>
      <c r="B39" s="102" t="s">
        <v>776</v>
      </c>
      <c r="C39" s="102" t="s">
        <v>777</v>
      </c>
      <c r="D39" s="102" t="s">
        <v>758</v>
      </c>
      <c r="E39" s="102" t="s">
        <v>778</v>
      </c>
      <c r="F39" s="102" t="s">
        <v>779</v>
      </c>
      <c r="G39" s="102" t="s">
        <v>780</v>
      </c>
      <c r="H39" s="102" t="s">
        <v>781</v>
      </c>
      <c r="I39" s="102" t="s">
        <v>782</v>
      </c>
      <c r="J39" s="102" t="s">
        <v>783</v>
      </c>
    </row>
    <row r="40" spans="1:10" ht="15" customHeight="1" x14ac:dyDescent="0.25">
      <c r="A40" s="126"/>
      <c r="B40" s="126"/>
      <c r="C40" s="126"/>
      <c r="D40" s="126"/>
      <c r="E40" s="127"/>
      <c r="F40" s="127">
        <f t="shared" ref="F40:F51" si="3">IFERROR(D40*E40,0)</f>
        <v>0</v>
      </c>
      <c r="G40" s="126"/>
      <c r="H40" s="126"/>
      <c r="I40" s="127"/>
      <c r="J40" s="127"/>
    </row>
    <row r="41" spans="1:10" ht="15" customHeight="1" x14ac:dyDescent="0.25">
      <c r="A41" s="126"/>
      <c r="B41" s="126"/>
      <c r="C41" s="126"/>
      <c r="D41" s="126"/>
      <c r="E41" s="127"/>
      <c r="F41" s="127">
        <f t="shared" si="3"/>
        <v>0</v>
      </c>
      <c r="G41" s="126"/>
      <c r="H41" s="126"/>
      <c r="I41" s="127"/>
      <c r="J41" s="127"/>
    </row>
    <row r="42" spans="1:10" ht="15" customHeight="1" x14ac:dyDescent="0.25">
      <c r="A42" s="126"/>
      <c r="B42" s="126"/>
      <c r="C42" s="126"/>
      <c r="D42" s="126"/>
      <c r="E42" s="127"/>
      <c r="F42" s="127">
        <f t="shared" si="3"/>
        <v>0</v>
      </c>
      <c r="G42" s="126"/>
      <c r="H42" s="126"/>
      <c r="I42" s="127"/>
      <c r="J42" s="127"/>
    </row>
    <row r="43" spans="1:10" ht="15" customHeight="1" x14ac:dyDescent="0.25">
      <c r="A43" s="126"/>
      <c r="B43" s="126"/>
      <c r="C43" s="126"/>
      <c r="D43" s="126"/>
      <c r="E43" s="127"/>
      <c r="F43" s="127">
        <f t="shared" si="3"/>
        <v>0</v>
      </c>
      <c r="G43" s="126"/>
      <c r="H43" s="126"/>
      <c r="I43" s="127"/>
      <c r="J43" s="127"/>
    </row>
    <row r="44" spans="1:10" ht="15" customHeight="1" x14ac:dyDescent="0.25">
      <c r="A44" s="126"/>
      <c r="B44" s="126"/>
      <c r="C44" s="126"/>
      <c r="D44" s="126"/>
      <c r="E44" s="127"/>
      <c r="F44" s="127">
        <f t="shared" si="3"/>
        <v>0</v>
      </c>
      <c r="G44" s="126"/>
      <c r="H44" s="126"/>
      <c r="I44" s="127"/>
      <c r="J44" s="127"/>
    </row>
    <row r="45" spans="1:10" ht="15" customHeight="1" x14ac:dyDescent="0.25">
      <c r="A45" s="126"/>
      <c r="B45" s="126"/>
      <c r="C45" s="126"/>
      <c r="D45" s="126"/>
      <c r="E45" s="127"/>
      <c r="F45" s="127">
        <f t="shared" si="3"/>
        <v>0</v>
      </c>
      <c r="G45" s="126"/>
      <c r="H45" s="126"/>
      <c r="I45" s="127"/>
      <c r="J45" s="127"/>
    </row>
    <row r="46" spans="1:10" ht="15" customHeight="1" x14ac:dyDescent="0.25">
      <c r="A46" s="126"/>
      <c r="B46" s="126"/>
      <c r="C46" s="126"/>
      <c r="D46" s="126"/>
      <c r="E46" s="127"/>
      <c r="F46" s="127">
        <f t="shared" si="3"/>
        <v>0</v>
      </c>
      <c r="G46" s="126"/>
      <c r="H46" s="126"/>
      <c r="I46" s="127"/>
      <c r="J46" s="127"/>
    </row>
    <row r="47" spans="1:10" ht="15" customHeight="1" x14ac:dyDescent="0.25">
      <c r="A47" s="126"/>
      <c r="B47" s="126"/>
      <c r="C47" s="126"/>
      <c r="D47" s="126"/>
      <c r="E47" s="127"/>
      <c r="F47" s="127">
        <f t="shared" si="3"/>
        <v>0</v>
      </c>
      <c r="G47" s="126"/>
      <c r="H47" s="126"/>
      <c r="I47" s="127"/>
      <c r="J47" s="127"/>
    </row>
    <row r="48" spans="1:10" ht="15" customHeight="1" x14ac:dyDescent="0.25">
      <c r="A48" s="126"/>
      <c r="B48" s="126"/>
      <c r="C48" s="126"/>
      <c r="D48" s="126"/>
      <c r="E48" s="127"/>
      <c r="F48" s="127">
        <f t="shared" si="3"/>
        <v>0</v>
      </c>
      <c r="G48" s="126"/>
      <c r="H48" s="126"/>
      <c r="I48" s="127"/>
      <c r="J48" s="127"/>
    </row>
    <row r="49" spans="1:10" ht="15" customHeight="1" x14ac:dyDescent="0.25">
      <c r="A49" s="126"/>
      <c r="B49" s="126"/>
      <c r="C49" s="126"/>
      <c r="D49" s="126"/>
      <c r="E49" s="127"/>
      <c r="F49" s="127">
        <f t="shared" si="3"/>
        <v>0</v>
      </c>
      <c r="G49" s="126"/>
      <c r="H49" s="126"/>
      <c r="I49" s="127"/>
      <c r="J49" s="127"/>
    </row>
    <row r="50" spans="1:10" ht="15" customHeight="1" x14ac:dyDescent="0.25">
      <c r="A50" s="126"/>
      <c r="B50" s="126"/>
      <c r="C50" s="126"/>
      <c r="D50" s="126"/>
      <c r="E50" s="127"/>
      <c r="F50" s="127">
        <f t="shared" si="3"/>
        <v>0</v>
      </c>
      <c r="G50" s="126"/>
      <c r="H50" s="126"/>
      <c r="I50" s="127"/>
      <c r="J50" s="127"/>
    </row>
    <row r="51" spans="1:10" ht="15" customHeight="1" x14ac:dyDescent="0.25">
      <c r="A51" s="126"/>
      <c r="B51" s="126"/>
      <c r="C51" s="126"/>
      <c r="D51" s="126"/>
      <c r="E51" s="127"/>
      <c r="F51" s="127">
        <f t="shared" si="3"/>
        <v>0</v>
      </c>
      <c r="G51" s="126"/>
      <c r="H51" s="126"/>
      <c r="I51" s="127"/>
      <c r="J51" s="127"/>
    </row>
    <row r="52" spans="1:10" ht="15" customHeight="1" x14ac:dyDescent="0.25">
      <c r="A52" s="134" t="s">
        <v>784</v>
      </c>
      <c r="F52" s="318">
        <f>SUM(F40:F51)</f>
        <v>0</v>
      </c>
      <c r="I52" s="80"/>
      <c r="J52" s="80"/>
    </row>
    <row r="53" spans="1:10" ht="15" customHeight="1" x14ac:dyDescent="0.25">
      <c r="A53" s="134" t="s">
        <v>785</v>
      </c>
      <c r="F53" s="80"/>
      <c r="I53" s="319">
        <f>SUM(I40:I51)</f>
        <v>0</v>
      </c>
      <c r="J53" s="80"/>
    </row>
    <row r="54" spans="1:10" ht="15" customHeight="1" x14ac:dyDescent="0.25">
      <c r="A54" s="134" t="s">
        <v>786</v>
      </c>
      <c r="F54" s="304"/>
      <c r="I54" s="80"/>
      <c r="J54" s="318">
        <f>SUM(J40:J51)</f>
        <v>0</v>
      </c>
    </row>
    <row r="55" spans="1:10" x14ac:dyDescent="0.25">
      <c r="I55" s="80"/>
      <c r="J55" s="80"/>
    </row>
    <row r="56" spans="1:10" ht="15" customHeight="1" x14ac:dyDescent="0.25">
      <c r="A56" s="437" t="s">
        <v>787</v>
      </c>
      <c r="B56" s="361"/>
      <c r="C56" s="361"/>
      <c r="D56" s="361"/>
      <c r="E56" s="361"/>
      <c r="F56" s="361"/>
      <c r="G56" s="361"/>
      <c r="H56" s="361"/>
      <c r="I56" s="361"/>
      <c r="J56" s="361"/>
    </row>
    <row r="57" spans="1:10" ht="15" customHeight="1" x14ac:dyDescent="0.25">
      <c r="A57" s="438" t="s">
        <v>788</v>
      </c>
      <c r="B57" s="361"/>
      <c r="C57" s="361"/>
      <c r="D57" s="361"/>
      <c r="E57" s="361"/>
      <c r="F57" s="361"/>
      <c r="G57" s="361"/>
      <c r="H57" s="361"/>
      <c r="I57" s="361"/>
      <c r="J57" s="361"/>
    </row>
    <row r="58" spans="1:10" ht="23.25" customHeight="1" x14ac:dyDescent="0.25">
      <c r="A58" s="102" t="s">
        <v>789</v>
      </c>
      <c r="B58" s="102" t="s">
        <v>639</v>
      </c>
      <c r="C58" s="102" t="s">
        <v>790</v>
      </c>
      <c r="D58" s="102" t="s">
        <v>758</v>
      </c>
      <c r="E58" s="102" t="s">
        <v>760</v>
      </c>
      <c r="F58" s="102" t="s">
        <v>791</v>
      </c>
      <c r="G58" s="102" t="s">
        <v>792</v>
      </c>
      <c r="H58" s="102" t="s">
        <v>793</v>
      </c>
      <c r="I58" s="102" t="s">
        <v>794</v>
      </c>
      <c r="J58" s="102" t="s">
        <v>795</v>
      </c>
    </row>
    <row r="59" spans="1:10" ht="15" customHeight="1" x14ac:dyDescent="0.25">
      <c r="A59" s="126"/>
      <c r="B59" s="126"/>
      <c r="C59" s="126"/>
      <c r="D59" s="126"/>
      <c r="E59" s="136"/>
      <c r="F59" s="136"/>
      <c r="G59" s="136">
        <f t="shared" ref="G59:G64" si="4">IFERROR(F59-E59,0)</f>
        <v>0</v>
      </c>
      <c r="H59" s="126"/>
      <c r="I59" s="126"/>
      <c r="J59" s="128" t="str">
        <f t="shared" ref="J59:J64" si="5">IF(F59&gt;500,"Yes - Required","No")</f>
        <v>No</v>
      </c>
    </row>
    <row r="60" spans="1:10" ht="15" customHeight="1" x14ac:dyDescent="0.25">
      <c r="A60" s="126"/>
      <c r="B60" s="126"/>
      <c r="C60" s="126"/>
      <c r="D60" s="126"/>
      <c r="E60" s="127"/>
      <c r="F60" s="127"/>
      <c r="G60" s="127">
        <f t="shared" si="4"/>
        <v>0</v>
      </c>
      <c r="H60" s="126"/>
      <c r="I60" s="126"/>
      <c r="J60" s="129" t="str">
        <f t="shared" si="5"/>
        <v>No</v>
      </c>
    </row>
    <row r="61" spans="1:10" ht="15" customHeight="1" x14ac:dyDescent="0.25">
      <c r="A61" s="126"/>
      <c r="B61" s="126"/>
      <c r="C61" s="126"/>
      <c r="D61" s="126"/>
      <c r="E61" s="127"/>
      <c r="F61" s="127"/>
      <c r="G61" s="127">
        <f t="shared" si="4"/>
        <v>0</v>
      </c>
      <c r="H61" s="126"/>
      <c r="I61" s="126"/>
      <c r="J61" s="128" t="str">
        <f t="shared" si="5"/>
        <v>No</v>
      </c>
    </row>
    <row r="62" spans="1:10" ht="15" customHeight="1" x14ac:dyDescent="0.25">
      <c r="A62" s="126"/>
      <c r="B62" s="126"/>
      <c r="C62" s="126"/>
      <c r="D62" s="126"/>
      <c r="E62" s="127"/>
      <c r="F62" s="127"/>
      <c r="G62" s="127">
        <f t="shared" si="4"/>
        <v>0</v>
      </c>
      <c r="H62" s="126"/>
      <c r="I62" s="126"/>
      <c r="J62" s="129" t="str">
        <f t="shared" si="5"/>
        <v>No</v>
      </c>
    </row>
    <row r="63" spans="1:10" ht="15" customHeight="1" x14ac:dyDescent="0.25">
      <c r="A63" s="126"/>
      <c r="B63" s="126"/>
      <c r="C63" s="126"/>
      <c r="D63" s="126"/>
      <c r="E63" s="127"/>
      <c r="F63" s="127"/>
      <c r="G63" s="127">
        <f t="shared" si="4"/>
        <v>0</v>
      </c>
      <c r="H63" s="126"/>
      <c r="I63" s="126"/>
      <c r="J63" s="128" t="str">
        <f t="shared" si="5"/>
        <v>No</v>
      </c>
    </row>
    <row r="64" spans="1:10" ht="15" customHeight="1" x14ac:dyDescent="0.25">
      <c r="A64" s="126"/>
      <c r="B64" s="126"/>
      <c r="C64" s="126"/>
      <c r="D64" s="126"/>
      <c r="E64" s="127"/>
      <c r="F64" s="127"/>
      <c r="G64" s="127">
        <f t="shared" si="4"/>
        <v>0</v>
      </c>
      <c r="H64" s="126"/>
      <c r="I64" s="126"/>
      <c r="J64" s="129" t="str">
        <f t="shared" si="5"/>
        <v>No</v>
      </c>
    </row>
    <row r="65" spans="1:10" ht="15" customHeight="1" x14ac:dyDescent="0.25">
      <c r="A65" s="134" t="s">
        <v>796</v>
      </c>
      <c r="E65" s="80"/>
      <c r="F65" s="320">
        <f>SUM(F59:F64)</f>
        <v>0</v>
      </c>
      <c r="G65" s="80"/>
    </row>
    <row r="66" spans="1:10" ht="15" customHeight="1" x14ac:dyDescent="0.25">
      <c r="A66" s="134" t="s">
        <v>797</v>
      </c>
      <c r="F66" s="80"/>
      <c r="G66" s="318">
        <f>SUM(G59:G64)</f>
        <v>0</v>
      </c>
    </row>
    <row r="68" spans="1:10" ht="15" customHeight="1" x14ac:dyDescent="0.25">
      <c r="A68" s="441" t="s">
        <v>798</v>
      </c>
      <c r="B68" s="361"/>
      <c r="C68" s="361"/>
      <c r="D68" s="361"/>
      <c r="E68" s="361"/>
      <c r="F68" s="361"/>
      <c r="G68" s="361"/>
      <c r="H68" s="361"/>
      <c r="I68" s="361"/>
      <c r="J68" s="361"/>
    </row>
    <row r="69" spans="1:10" ht="15" customHeight="1" x14ac:dyDescent="0.25">
      <c r="A69" s="134" t="s">
        <v>799</v>
      </c>
      <c r="B69" s="137">
        <v>0.42</v>
      </c>
    </row>
    <row r="70" spans="1:10" ht="15" customHeight="1" x14ac:dyDescent="0.25">
      <c r="A70" s="134" t="s">
        <v>800</v>
      </c>
      <c r="B70" s="137">
        <v>0.23799999999999999</v>
      </c>
    </row>
    <row r="71" spans="1:10" ht="15" customHeight="1" x14ac:dyDescent="0.25">
      <c r="A71" s="134" t="s">
        <v>801</v>
      </c>
      <c r="E71" s="138">
        <f>IFERROR(IF(E31&lt;0,MIN(-E31,3000)*B69,0),0)</f>
        <v>0</v>
      </c>
    </row>
    <row r="72" spans="1:10" ht="15" customHeight="1" x14ac:dyDescent="0.25">
      <c r="A72" s="134" t="s">
        <v>802</v>
      </c>
      <c r="B72" s="139"/>
      <c r="E72" s="316">
        <f>IFERROR(J54*B69,0)</f>
        <v>0</v>
      </c>
    </row>
    <row r="73" spans="1:10" ht="15" customHeight="1" x14ac:dyDescent="0.25">
      <c r="A73" s="134" t="s">
        <v>803</v>
      </c>
      <c r="B73" s="139"/>
      <c r="E73" s="316">
        <f>IFERROR(F65*B69,0)</f>
        <v>0</v>
      </c>
    </row>
    <row r="74" spans="1:10" ht="15" customHeight="1" x14ac:dyDescent="0.25">
      <c r="A74" s="134" t="s">
        <v>804</v>
      </c>
      <c r="E74" s="316">
        <f>IFERROR(G66*B70,0)</f>
        <v>0</v>
      </c>
    </row>
    <row r="75" spans="1:10" ht="15.75" customHeight="1" x14ac:dyDescent="0.3">
      <c r="A75" s="140" t="s">
        <v>805</v>
      </c>
      <c r="E75" s="321">
        <f>SUM(E71:E74)</f>
        <v>0</v>
      </c>
    </row>
    <row r="76" spans="1:10" x14ac:dyDescent="0.25">
      <c r="E76" s="80"/>
    </row>
    <row r="77" spans="1:10" ht="15" customHeight="1" x14ac:dyDescent="0.25">
      <c r="A77" s="422" t="s">
        <v>806</v>
      </c>
      <c r="B77" s="361"/>
      <c r="C77" s="361"/>
      <c r="D77" s="361"/>
      <c r="E77" s="361"/>
      <c r="F77" s="361"/>
      <c r="G77" s="361"/>
      <c r="H77" s="361"/>
      <c r="I77" s="361"/>
      <c r="J77" s="361"/>
    </row>
    <row r="78" spans="1:10" ht="15" customHeight="1" x14ac:dyDescent="0.25">
      <c r="A78" s="435" t="s">
        <v>807</v>
      </c>
      <c r="B78" s="361"/>
      <c r="C78" s="361"/>
      <c r="D78" s="361"/>
      <c r="E78" s="361"/>
      <c r="F78" s="361"/>
      <c r="G78" s="361"/>
      <c r="H78" s="361"/>
      <c r="I78" s="361"/>
      <c r="J78" s="361"/>
    </row>
    <row r="79" spans="1:10" ht="15" customHeight="1" x14ac:dyDescent="0.25">
      <c r="A79" s="435" t="s">
        <v>808</v>
      </c>
      <c r="B79" s="361"/>
      <c r="C79" s="361"/>
      <c r="D79" s="361"/>
      <c r="E79" s="361"/>
      <c r="F79" s="361"/>
      <c r="G79" s="361"/>
      <c r="H79" s="361"/>
      <c r="I79" s="361"/>
      <c r="J79" s="361"/>
    </row>
    <row r="80" spans="1:10" ht="15" customHeight="1" x14ac:dyDescent="0.25">
      <c r="A80" s="435" t="s">
        <v>809</v>
      </c>
      <c r="B80" s="361"/>
      <c r="C80" s="361"/>
      <c r="D80" s="361"/>
      <c r="E80" s="361"/>
      <c r="F80" s="361"/>
      <c r="G80" s="361"/>
      <c r="H80" s="361"/>
      <c r="I80" s="361"/>
      <c r="J80" s="361"/>
    </row>
    <row r="81" spans="1:10" ht="15" customHeight="1" x14ac:dyDescent="0.25">
      <c r="A81" s="435" t="s">
        <v>810</v>
      </c>
      <c r="B81" s="361"/>
      <c r="C81" s="361"/>
      <c r="D81" s="361"/>
      <c r="E81" s="361"/>
      <c r="F81" s="361"/>
      <c r="G81" s="361"/>
      <c r="H81" s="361"/>
      <c r="I81" s="361"/>
      <c r="J81" s="361"/>
    </row>
    <row r="82" spans="1:10" ht="15" customHeight="1" x14ac:dyDescent="0.25">
      <c r="A82" s="435" t="s">
        <v>811</v>
      </c>
      <c r="B82" s="361"/>
      <c r="C82" s="361"/>
      <c r="D82" s="361"/>
      <c r="E82" s="361"/>
      <c r="F82" s="361"/>
      <c r="G82" s="361"/>
      <c r="H82" s="361"/>
      <c r="I82" s="361"/>
      <c r="J82" s="361"/>
    </row>
    <row r="83" spans="1:10" ht="15" customHeight="1" x14ac:dyDescent="0.25">
      <c r="A83" s="435" t="s">
        <v>812</v>
      </c>
      <c r="B83" s="361"/>
      <c r="C83" s="361"/>
      <c r="D83" s="361"/>
      <c r="E83" s="361"/>
      <c r="F83" s="361"/>
      <c r="G83" s="361"/>
      <c r="H83" s="361"/>
      <c r="I83" s="361"/>
      <c r="J83" s="361"/>
    </row>
    <row r="85" spans="1:10" ht="15" customHeight="1" x14ac:dyDescent="0.25">
      <c r="A85" s="406" t="s">
        <v>1313</v>
      </c>
      <c r="B85" s="361"/>
      <c r="C85" s="361"/>
      <c r="D85" s="361"/>
      <c r="E85" s="361"/>
      <c r="F85" s="361"/>
      <c r="G85" s="361"/>
      <c r="H85" s="361"/>
      <c r="I85" s="361"/>
      <c r="J85" s="361"/>
    </row>
    <row r="86" spans="1:10" ht="15" customHeight="1" x14ac:dyDescent="0.25">
      <c r="A86" s="405" t="s">
        <v>81</v>
      </c>
      <c r="B86" s="361"/>
      <c r="C86" s="361"/>
      <c r="D86" s="361"/>
      <c r="E86" s="361"/>
      <c r="F86" s="361"/>
      <c r="G86" s="361"/>
      <c r="H86" s="361"/>
      <c r="I86" s="361"/>
      <c r="J86" s="361"/>
    </row>
  </sheetData>
  <mergeCells count="19">
    <mergeCell ref="A77:J77"/>
    <mergeCell ref="A83:J83"/>
    <mergeCell ref="A82:J82"/>
    <mergeCell ref="A86:J86"/>
    <mergeCell ref="A1:J1"/>
    <mergeCell ref="A79:J79"/>
    <mergeCell ref="A78:J78"/>
    <mergeCell ref="A80:J80"/>
    <mergeCell ref="A37:J37"/>
    <mergeCell ref="A56:J56"/>
    <mergeCell ref="A27:J27"/>
    <mergeCell ref="A57:J57"/>
    <mergeCell ref="A2:J2"/>
    <mergeCell ref="A85:J85"/>
    <mergeCell ref="A5:J5"/>
    <mergeCell ref="A4:J4"/>
    <mergeCell ref="A81:J81"/>
    <mergeCell ref="A38:J38"/>
    <mergeCell ref="A68:J68"/>
  </mergeCells>
  <dataValidations count="3">
    <dataValidation type="list" allowBlank="1" sqref="I7:I26" xr:uid="{00000000-0002-0000-0900-000000000000}">
      <formula1>"Yes,No,N/A"</formula1>
      <formula2>0</formula2>
    </dataValidation>
    <dataValidation type="list" allowBlank="1" sqref="B40:B51" xr:uid="{00000000-0002-0000-0900-000001000000}">
      <formula1>"Mining,Staking,Liquidity Pool,Yield Farming,Airdrop,Hard Fork,Other DeFi"</formula1>
      <formula2>0</formula2>
    </dataValidation>
    <dataValidation type="list" allowBlank="1" sqref="H40:H51" xr:uid="{00000000-0002-0000-0900-000002000000}">
      <formula1>"Schedule C,1120-S K-1,Schedule 1 Other Income,Not yet reported"</formula1>
      <formula2>0</formula2>
    </dataValidation>
  </dataValidations>
  <pageMargins left="0.5" right="0.5" top="0.75" bottom="0.75" header="0.3" footer="0.3"/>
  <pageSetup fitToHeight="0" orientation="landscape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59669"/>
    <pageSetUpPr fitToPage="1"/>
  </sheetPr>
  <dimension ref="A1:H74"/>
  <sheetViews>
    <sheetView zoomScaleNormal="100" workbookViewId="0">
      <pane ySplit="6" topLeftCell="A7" activePane="bottomLeft" state="frozen"/>
      <selection pane="bottomLeft" sqref="A1:H1"/>
    </sheetView>
  </sheetViews>
  <sheetFormatPr defaultColWidth="8.7109375" defaultRowHeight="15" x14ac:dyDescent="0.25"/>
  <cols>
    <col min="1" max="1" width="28" customWidth="1"/>
    <col min="2" max="5" width="16" customWidth="1"/>
    <col min="6" max="7" width="14" customWidth="1"/>
    <col min="8" max="8" width="18" customWidth="1"/>
  </cols>
  <sheetData>
    <row r="1" spans="1:8" ht="21.75" customHeight="1" x14ac:dyDescent="0.35">
      <c r="A1" s="434" t="s">
        <v>813</v>
      </c>
      <c r="B1" s="361"/>
      <c r="C1" s="361"/>
      <c r="D1" s="361"/>
      <c r="E1" s="361"/>
      <c r="F1" s="361"/>
      <c r="G1" s="361"/>
      <c r="H1" s="361"/>
    </row>
    <row r="2" spans="1:8" ht="15" customHeight="1" x14ac:dyDescent="0.25">
      <c r="A2" s="439" t="s">
        <v>814</v>
      </c>
      <c r="B2" s="361"/>
      <c r="C2" s="361"/>
      <c r="D2" s="361"/>
      <c r="E2" s="361"/>
      <c r="F2" s="361"/>
      <c r="G2" s="361"/>
      <c r="H2" s="361"/>
    </row>
    <row r="3" spans="1:8" ht="15" customHeight="1" x14ac:dyDescent="0.25">
      <c r="A3" s="33" t="s">
        <v>815</v>
      </c>
    </row>
    <row r="4" spans="1:8" ht="15" customHeight="1" x14ac:dyDescent="0.25">
      <c r="A4" s="436" t="s">
        <v>816</v>
      </c>
      <c r="B4" s="361"/>
      <c r="C4" s="361"/>
      <c r="D4" s="361"/>
      <c r="E4" s="361"/>
      <c r="F4" s="361"/>
      <c r="G4" s="361"/>
      <c r="H4" s="361"/>
    </row>
    <row r="5" spans="1:8" ht="15" customHeight="1" x14ac:dyDescent="0.25">
      <c r="A5" s="438" t="s">
        <v>817</v>
      </c>
      <c r="B5" s="361"/>
      <c r="C5" s="361"/>
      <c r="D5" s="361"/>
      <c r="E5" s="361"/>
      <c r="F5" s="361"/>
      <c r="G5" s="361"/>
      <c r="H5" s="361"/>
    </row>
    <row r="6" spans="1:8" ht="15" customHeight="1" x14ac:dyDescent="0.25">
      <c r="A6" s="102" t="s">
        <v>818</v>
      </c>
      <c r="B6" s="102" t="s">
        <v>819</v>
      </c>
      <c r="C6" s="102" t="s">
        <v>820</v>
      </c>
      <c r="D6" s="102" t="s">
        <v>821</v>
      </c>
      <c r="E6" s="102" t="s">
        <v>822</v>
      </c>
      <c r="F6" s="102" t="s">
        <v>823</v>
      </c>
      <c r="G6" s="102" t="s">
        <v>824</v>
      </c>
      <c r="H6" s="102" t="s">
        <v>825</v>
      </c>
    </row>
    <row r="7" spans="1:8" ht="15" customHeight="1" x14ac:dyDescent="0.25">
      <c r="A7" s="126"/>
      <c r="B7" s="126"/>
      <c r="C7" s="126"/>
      <c r="D7" s="127"/>
      <c r="E7" s="126"/>
      <c r="F7" s="126"/>
      <c r="G7" s="126"/>
      <c r="H7" s="323">
        <f>IFERROR(D7*$B20,0)</f>
        <v>0</v>
      </c>
    </row>
    <row r="8" spans="1:8" ht="15" customHeight="1" x14ac:dyDescent="0.25">
      <c r="A8" s="126"/>
      <c r="B8" s="126"/>
      <c r="C8" s="126"/>
      <c r="D8" s="127"/>
      <c r="E8" s="126"/>
      <c r="F8" s="126"/>
      <c r="G8" s="126"/>
      <c r="H8" s="324">
        <f>IFERROR(D8*$B20,0)</f>
        <v>0</v>
      </c>
    </row>
    <row r="9" spans="1:8" ht="15" customHeight="1" x14ac:dyDescent="0.25">
      <c r="A9" s="126"/>
      <c r="B9" s="126"/>
      <c r="C9" s="126"/>
      <c r="D9" s="127"/>
      <c r="E9" s="126"/>
      <c r="F9" s="126"/>
      <c r="G9" s="126"/>
      <c r="H9" s="323">
        <f>IFERROR(D9*$B20,0)</f>
        <v>0</v>
      </c>
    </row>
    <row r="10" spans="1:8" ht="15" customHeight="1" x14ac:dyDescent="0.25">
      <c r="A10" s="126"/>
      <c r="B10" s="126"/>
      <c r="C10" s="126"/>
      <c r="D10" s="127"/>
      <c r="E10" s="126"/>
      <c r="F10" s="126"/>
      <c r="G10" s="126"/>
      <c r="H10" s="324">
        <f>IFERROR(D10*$B20,0)</f>
        <v>0</v>
      </c>
    </row>
    <row r="11" spans="1:8" ht="15" customHeight="1" x14ac:dyDescent="0.25">
      <c r="A11" s="126"/>
      <c r="B11" s="126"/>
      <c r="C11" s="126"/>
      <c r="D11" s="127"/>
      <c r="E11" s="126"/>
      <c r="F11" s="126"/>
      <c r="G11" s="126"/>
      <c r="H11" s="323">
        <f>IFERROR(D11*$B20,0)</f>
        <v>0</v>
      </c>
    </row>
    <row r="12" spans="1:8" ht="15" customHeight="1" x14ac:dyDescent="0.25">
      <c r="A12" s="126"/>
      <c r="B12" s="126"/>
      <c r="C12" s="126"/>
      <c r="D12" s="127"/>
      <c r="E12" s="126"/>
      <c r="F12" s="126"/>
      <c r="G12" s="126"/>
      <c r="H12" s="324">
        <f>IFERROR(D12*$B20,0)</f>
        <v>0</v>
      </c>
    </row>
    <row r="13" spans="1:8" ht="15" customHeight="1" x14ac:dyDescent="0.25">
      <c r="A13" s="126"/>
      <c r="B13" s="126"/>
      <c r="C13" s="126"/>
      <c r="D13" s="127"/>
      <c r="E13" s="126"/>
      <c r="F13" s="126"/>
      <c r="G13" s="126"/>
      <c r="H13" s="323">
        <f>IFERROR(D13*$B20,0)</f>
        <v>0</v>
      </c>
    </row>
    <row r="14" spans="1:8" ht="15" customHeight="1" x14ac:dyDescent="0.25">
      <c r="A14" s="126"/>
      <c r="B14" s="126"/>
      <c r="C14" s="126"/>
      <c r="D14" s="127"/>
      <c r="E14" s="126"/>
      <c r="F14" s="126"/>
      <c r="G14" s="126"/>
      <c r="H14" s="324">
        <f>IFERROR(D14*$B20,0)</f>
        <v>0</v>
      </c>
    </row>
    <row r="15" spans="1:8" ht="15" customHeight="1" x14ac:dyDescent="0.25">
      <c r="A15" s="126"/>
      <c r="B15" s="126"/>
      <c r="C15" s="126"/>
      <c r="D15" s="127"/>
      <c r="E15" s="126"/>
      <c r="F15" s="126"/>
      <c r="G15" s="126"/>
      <c r="H15" s="323">
        <f>IFERROR(D15*$B20,0)</f>
        <v>0</v>
      </c>
    </row>
    <row r="16" spans="1:8" ht="15" customHeight="1" x14ac:dyDescent="0.25">
      <c r="A16" s="126"/>
      <c r="B16" s="126"/>
      <c r="C16" s="126"/>
      <c r="D16" s="127"/>
      <c r="E16" s="126"/>
      <c r="F16" s="126"/>
      <c r="G16" s="126"/>
      <c r="H16" s="324">
        <f>IFERROR(D16*$B20,0)</f>
        <v>0</v>
      </c>
    </row>
    <row r="17" spans="1:8" ht="15" customHeight="1" x14ac:dyDescent="0.25">
      <c r="A17" s="126"/>
      <c r="B17" s="126"/>
      <c r="C17" s="126"/>
      <c r="D17" s="127"/>
      <c r="E17" s="126"/>
      <c r="F17" s="126"/>
      <c r="G17" s="126"/>
      <c r="H17" s="323">
        <f>IFERROR(D17*$B20,0)</f>
        <v>0</v>
      </c>
    </row>
    <row r="18" spans="1:8" ht="15" customHeight="1" x14ac:dyDescent="0.25">
      <c r="A18" s="126"/>
      <c r="B18" s="126"/>
      <c r="C18" s="126"/>
      <c r="D18" s="127"/>
      <c r="E18" s="126"/>
      <c r="F18" s="126"/>
      <c r="G18" s="126"/>
      <c r="H18" s="324">
        <f>IFERROR(D18*$B20,0)</f>
        <v>0</v>
      </c>
    </row>
    <row r="19" spans="1:8" ht="15" customHeight="1" x14ac:dyDescent="0.25">
      <c r="A19" s="134" t="s">
        <v>826</v>
      </c>
      <c r="D19" s="322">
        <f>SUM(D7:D18)</f>
        <v>0</v>
      </c>
      <c r="H19" s="322">
        <f>SUM(H7:H18)</f>
        <v>0</v>
      </c>
    </row>
    <row r="20" spans="1:8" ht="15" customHeight="1" x14ac:dyDescent="0.25">
      <c r="A20" s="132" t="s">
        <v>827</v>
      </c>
      <c r="B20" s="143">
        <v>0.42</v>
      </c>
    </row>
    <row r="21" spans="1:8" ht="15" customHeight="1" x14ac:dyDescent="0.25">
      <c r="A21" s="438" t="s">
        <v>828</v>
      </c>
      <c r="B21" s="361"/>
      <c r="C21" s="361"/>
      <c r="D21" s="361"/>
      <c r="E21" s="361"/>
      <c r="F21" s="361"/>
      <c r="G21" s="361"/>
      <c r="H21" s="361"/>
    </row>
    <row r="23" spans="1:8" ht="15" customHeight="1" x14ac:dyDescent="0.25">
      <c r="A23" s="436" t="s">
        <v>829</v>
      </c>
      <c r="B23" s="361"/>
      <c r="C23" s="361"/>
      <c r="D23" s="361"/>
      <c r="E23" s="361"/>
      <c r="F23" s="361"/>
      <c r="G23" s="361"/>
      <c r="H23" s="361"/>
    </row>
    <row r="24" spans="1:8" ht="15" customHeight="1" x14ac:dyDescent="0.25">
      <c r="A24" s="440" t="s">
        <v>830</v>
      </c>
      <c r="B24" s="361"/>
      <c r="C24" s="361"/>
      <c r="D24" s="443"/>
      <c r="E24" s="361"/>
      <c r="F24" s="361"/>
      <c r="G24" s="361"/>
      <c r="H24" s="443"/>
    </row>
    <row r="25" spans="1:8" ht="15" customHeight="1" x14ac:dyDescent="0.25">
      <c r="A25" s="144" t="s">
        <v>831</v>
      </c>
      <c r="B25" s="144" t="s">
        <v>832</v>
      </c>
      <c r="C25" s="144" t="s">
        <v>833</v>
      </c>
      <c r="D25" s="325" t="s">
        <v>834</v>
      </c>
      <c r="E25" s="144" t="s">
        <v>835</v>
      </c>
      <c r="F25" s="144" t="s">
        <v>641</v>
      </c>
      <c r="G25" s="144" t="s">
        <v>89</v>
      </c>
      <c r="H25" s="327" t="s">
        <v>825</v>
      </c>
    </row>
    <row r="26" spans="1:8" ht="15" customHeight="1" x14ac:dyDescent="0.25">
      <c r="A26" s="126"/>
      <c r="B26" s="126"/>
      <c r="C26" s="126"/>
      <c r="D26" s="127"/>
      <c r="E26" s="126"/>
      <c r="F26" s="126"/>
      <c r="G26" s="126"/>
      <c r="H26" s="323">
        <f>IFERROR(D26*$B20,0)</f>
        <v>0</v>
      </c>
    </row>
    <row r="27" spans="1:8" ht="15" customHeight="1" x14ac:dyDescent="0.25">
      <c r="A27" s="126"/>
      <c r="B27" s="126"/>
      <c r="C27" s="126"/>
      <c r="D27" s="127"/>
      <c r="E27" s="126"/>
      <c r="F27" s="126"/>
      <c r="G27" s="126"/>
      <c r="H27" s="324">
        <f>IFERROR(D27*$B20,0)</f>
        <v>0</v>
      </c>
    </row>
    <row r="28" spans="1:8" ht="15" customHeight="1" x14ac:dyDescent="0.25">
      <c r="A28" s="126"/>
      <c r="B28" s="126"/>
      <c r="C28" s="126"/>
      <c r="D28" s="127"/>
      <c r="E28" s="126"/>
      <c r="F28" s="126"/>
      <c r="G28" s="126"/>
      <c r="H28" s="323">
        <f>IFERROR(D28*$B20,0)</f>
        <v>0</v>
      </c>
    </row>
    <row r="29" spans="1:8" ht="15" customHeight="1" x14ac:dyDescent="0.25">
      <c r="A29" s="126"/>
      <c r="B29" s="126"/>
      <c r="C29" s="126"/>
      <c r="D29" s="127"/>
      <c r="E29" s="126"/>
      <c r="F29" s="126"/>
      <c r="G29" s="126"/>
      <c r="H29" s="324">
        <f>IFERROR(D29*$B20,0)</f>
        <v>0</v>
      </c>
    </row>
    <row r="30" spans="1:8" ht="15" customHeight="1" x14ac:dyDescent="0.25">
      <c r="A30" s="126"/>
      <c r="B30" s="126"/>
      <c r="C30" s="126"/>
      <c r="D30" s="127"/>
      <c r="E30" s="126"/>
      <c r="F30" s="126"/>
      <c r="G30" s="126"/>
      <c r="H30" s="323">
        <f>IFERROR(D30*$B20,0)</f>
        <v>0</v>
      </c>
    </row>
    <row r="31" spans="1:8" ht="15" customHeight="1" x14ac:dyDescent="0.25">
      <c r="A31" s="126"/>
      <c r="B31" s="126"/>
      <c r="C31" s="126"/>
      <c r="D31" s="127"/>
      <c r="E31" s="126"/>
      <c r="F31" s="126"/>
      <c r="G31" s="126"/>
      <c r="H31" s="324">
        <f>IFERROR(D31*$B20,0)</f>
        <v>0</v>
      </c>
    </row>
    <row r="32" spans="1:8" ht="15" customHeight="1" x14ac:dyDescent="0.25">
      <c r="A32" s="126"/>
      <c r="B32" s="126"/>
      <c r="C32" s="126"/>
      <c r="D32" s="326"/>
      <c r="E32" s="126"/>
      <c r="F32" s="126"/>
      <c r="G32" s="126"/>
      <c r="H32" s="328">
        <f>IFERROR(D32*$B20,0)</f>
        <v>0</v>
      </c>
    </row>
    <row r="33" spans="1:8" ht="15" customHeight="1" x14ac:dyDescent="0.25">
      <c r="A33" s="145"/>
      <c r="B33" s="145"/>
      <c r="C33" s="145"/>
      <c r="D33" s="142"/>
      <c r="E33" s="145"/>
      <c r="F33" s="145"/>
      <c r="G33" s="145"/>
      <c r="H33" s="142">
        <f>IFERROR(D33*$B20,0)</f>
        <v>0</v>
      </c>
    </row>
    <row r="34" spans="1:8" ht="15" customHeight="1" x14ac:dyDescent="0.25">
      <c r="A34" s="134" t="s">
        <v>836</v>
      </c>
      <c r="D34" s="135">
        <f>SUM(D26:D33)</f>
        <v>0</v>
      </c>
      <c r="H34" s="135">
        <f>SUM(H26:H33)</f>
        <v>0</v>
      </c>
    </row>
    <row r="36" spans="1:8" ht="15" customHeight="1" x14ac:dyDescent="0.25">
      <c r="A36" s="436" t="s">
        <v>837</v>
      </c>
      <c r="B36" s="361"/>
      <c r="C36" s="361"/>
      <c r="D36" s="361"/>
      <c r="E36" s="361"/>
      <c r="F36" s="361"/>
      <c r="G36" s="361"/>
      <c r="H36" s="361"/>
    </row>
    <row r="37" spans="1:8" ht="15" customHeight="1" x14ac:dyDescent="0.25">
      <c r="A37" s="442" t="s">
        <v>838</v>
      </c>
      <c r="B37" s="361"/>
      <c r="C37" s="361"/>
      <c r="D37" s="361"/>
      <c r="E37" s="361"/>
      <c r="F37" s="361"/>
      <c r="G37" s="361"/>
      <c r="H37" s="361"/>
    </row>
    <row r="38" spans="1:8" ht="15" customHeight="1" x14ac:dyDescent="0.25">
      <c r="A38" s="146" t="s">
        <v>839</v>
      </c>
      <c r="B38" s="147"/>
      <c r="C38" s="147"/>
      <c r="D38" s="329">
        <v>0</v>
      </c>
      <c r="E38" s="147"/>
      <c r="F38" s="147"/>
      <c r="G38" s="147"/>
    </row>
    <row r="39" spans="1:8" ht="15" customHeight="1" x14ac:dyDescent="0.25">
      <c r="A39" s="144" t="s">
        <v>840</v>
      </c>
      <c r="B39" s="144" t="s">
        <v>639</v>
      </c>
      <c r="C39" s="144" t="s">
        <v>841</v>
      </c>
      <c r="D39" s="144" t="s">
        <v>842</v>
      </c>
      <c r="E39" s="144" t="s">
        <v>843</v>
      </c>
      <c r="F39" s="144" t="s">
        <v>761</v>
      </c>
      <c r="G39" s="144" t="s">
        <v>762</v>
      </c>
      <c r="H39" s="102" t="s">
        <v>763</v>
      </c>
    </row>
    <row r="40" spans="1:8" ht="15" customHeight="1" x14ac:dyDescent="0.25">
      <c r="A40" s="126"/>
      <c r="B40" s="126"/>
      <c r="C40" s="126"/>
      <c r="D40" s="127"/>
      <c r="E40" s="127"/>
      <c r="F40" s="127">
        <f t="shared" ref="F40:F54" si="0">IFERROR(D40-E40,0)</f>
        <v>0</v>
      </c>
      <c r="G40" s="126" t="str">
        <f t="shared" ref="G40:G54" si="1">IFERROR(IF(C40-B40&gt;365,"Long-term","Short-term"),"")</f>
        <v>Short-term</v>
      </c>
      <c r="H40" s="148"/>
    </row>
    <row r="41" spans="1:8" ht="15" customHeight="1" x14ac:dyDescent="0.25">
      <c r="A41" s="126"/>
      <c r="B41" s="126"/>
      <c r="C41" s="126"/>
      <c r="D41" s="127"/>
      <c r="E41" s="127"/>
      <c r="F41" s="127">
        <f t="shared" si="0"/>
        <v>0</v>
      </c>
      <c r="G41" s="126" t="str">
        <f t="shared" si="1"/>
        <v>Short-term</v>
      </c>
      <c r="H41" s="145"/>
    </row>
    <row r="42" spans="1:8" ht="15" customHeight="1" x14ac:dyDescent="0.25">
      <c r="A42" s="126"/>
      <c r="B42" s="126"/>
      <c r="C42" s="126"/>
      <c r="D42" s="127"/>
      <c r="E42" s="127"/>
      <c r="F42" s="127">
        <f t="shared" si="0"/>
        <v>0</v>
      </c>
      <c r="G42" s="126" t="str">
        <f t="shared" si="1"/>
        <v>Short-term</v>
      </c>
      <c r="H42" s="148"/>
    </row>
    <row r="43" spans="1:8" ht="15" customHeight="1" x14ac:dyDescent="0.25">
      <c r="A43" s="126"/>
      <c r="B43" s="126"/>
      <c r="C43" s="126"/>
      <c r="D43" s="127"/>
      <c r="E43" s="127"/>
      <c r="F43" s="127">
        <f t="shared" si="0"/>
        <v>0</v>
      </c>
      <c r="G43" s="126" t="str">
        <f t="shared" si="1"/>
        <v>Short-term</v>
      </c>
      <c r="H43" s="145"/>
    </row>
    <row r="44" spans="1:8" ht="15" customHeight="1" x14ac:dyDescent="0.25">
      <c r="A44" s="126"/>
      <c r="B44" s="126"/>
      <c r="C44" s="126"/>
      <c r="D44" s="127"/>
      <c r="E44" s="127"/>
      <c r="F44" s="127">
        <f t="shared" si="0"/>
        <v>0</v>
      </c>
      <c r="G44" s="126" t="str">
        <f t="shared" si="1"/>
        <v>Short-term</v>
      </c>
      <c r="H44" s="148"/>
    </row>
    <row r="45" spans="1:8" ht="15" customHeight="1" x14ac:dyDescent="0.25">
      <c r="A45" s="126"/>
      <c r="B45" s="126"/>
      <c r="C45" s="126"/>
      <c r="D45" s="136"/>
      <c r="E45" s="136"/>
      <c r="F45" s="127">
        <f t="shared" si="0"/>
        <v>0</v>
      </c>
      <c r="G45" s="126" t="str">
        <f t="shared" si="1"/>
        <v>Short-term</v>
      </c>
      <c r="H45" s="145"/>
    </row>
    <row r="46" spans="1:8" ht="15" customHeight="1" x14ac:dyDescent="0.25">
      <c r="A46" s="126"/>
      <c r="B46" s="126"/>
      <c r="C46" s="126"/>
      <c r="D46" s="136"/>
      <c r="E46" s="136"/>
      <c r="F46" s="127">
        <f t="shared" si="0"/>
        <v>0</v>
      </c>
      <c r="G46" s="126" t="str">
        <f t="shared" si="1"/>
        <v>Short-term</v>
      </c>
      <c r="H46" s="148"/>
    </row>
    <row r="47" spans="1:8" ht="15" customHeight="1" x14ac:dyDescent="0.25">
      <c r="A47" s="126"/>
      <c r="B47" s="126"/>
      <c r="C47" s="126"/>
      <c r="D47" s="136"/>
      <c r="E47" s="136"/>
      <c r="F47" s="127">
        <f t="shared" si="0"/>
        <v>0</v>
      </c>
      <c r="G47" s="126" t="str">
        <f t="shared" si="1"/>
        <v>Short-term</v>
      </c>
      <c r="H47" s="145"/>
    </row>
    <row r="48" spans="1:8" ht="15" customHeight="1" x14ac:dyDescent="0.25">
      <c r="A48" s="126"/>
      <c r="B48" s="126"/>
      <c r="C48" s="126"/>
      <c r="D48" s="136"/>
      <c r="E48" s="136"/>
      <c r="F48" s="127">
        <f t="shared" si="0"/>
        <v>0</v>
      </c>
      <c r="G48" s="126" t="str">
        <f t="shared" si="1"/>
        <v>Short-term</v>
      </c>
      <c r="H48" s="148"/>
    </row>
    <row r="49" spans="1:8" ht="15" customHeight="1" x14ac:dyDescent="0.25">
      <c r="A49" s="126"/>
      <c r="B49" s="126"/>
      <c r="C49" s="126"/>
      <c r="D49" s="136"/>
      <c r="E49" s="136"/>
      <c r="F49" s="127">
        <f t="shared" si="0"/>
        <v>0</v>
      </c>
      <c r="G49" s="126" t="str">
        <f t="shared" si="1"/>
        <v>Short-term</v>
      </c>
      <c r="H49" s="145"/>
    </row>
    <row r="50" spans="1:8" ht="15" customHeight="1" x14ac:dyDescent="0.25">
      <c r="A50" s="126"/>
      <c r="B50" s="126"/>
      <c r="C50" s="126"/>
      <c r="D50" s="136"/>
      <c r="E50" s="136"/>
      <c r="F50" s="127">
        <f t="shared" si="0"/>
        <v>0</v>
      </c>
      <c r="G50" s="126" t="str">
        <f t="shared" si="1"/>
        <v>Short-term</v>
      </c>
      <c r="H50" s="148"/>
    </row>
    <row r="51" spans="1:8" ht="15" customHeight="1" x14ac:dyDescent="0.25">
      <c r="A51" s="126"/>
      <c r="B51" s="126"/>
      <c r="C51" s="126"/>
      <c r="D51" s="136"/>
      <c r="E51" s="136"/>
      <c r="F51" s="127">
        <f t="shared" si="0"/>
        <v>0</v>
      </c>
      <c r="G51" s="126" t="str">
        <f t="shared" si="1"/>
        <v>Short-term</v>
      </c>
      <c r="H51" s="145"/>
    </row>
    <row r="52" spans="1:8" ht="15" customHeight="1" x14ac:dyDescent="0.25">
      <c r="A52" s="148"/>
      <c r="B52" s="148"/>
      <c r="C52" s="148"/>
      <c r="D52" s="141"/>
      <c r="E52" s="141"/>
      <c r="F52" s="323">
        <f t="shared" si="0"/>
        <v>0</v>
      </c>
      <c r="G52" s="148" t="str">
        <f t="shared" si="1"/>
        <v>Short-term</v>
      </c>
      <c r="H52" s="148"/>
    </row>
    <row r="53" spans="1:8" ht="15" customHeight="1" x14ac:dyDescent="0.25">
      <c r="A53" s="145"/>
      <c r="B53" s="145"/>
      <c r="C53" s="145"/>
      <c r="D53" s="142"/>
      <c r="E53" s="142"/>
      <c r="F53" s="324">
        <f t="shared" si="0"/>
        <v>0</v>
      </c>
      <c r="G53" s="145" t="str">
        <f t="shared" si="1"/>
        <v>Short-term</v>
      </c>
      <c r="H53" s="145"/>
    </row>
    <row r="54" spans="1:8" ht="15" customHeight="1" x14ac:dyDescent="0.25">
      <c r="A54" s="148"/>
      <c r="B54" s="148"/>
      <c r="C54" s="148"/>
      <c r="D54" s="141"/>
      <c r="E54" s="141"/>
      <c r="F54" s="323">
        <f t="shared" si="0"/>
        <v>0</v>
      </c>
      <c r="G54" s="148" t="str">
        <f t="shared" si="1"/>
        <v>Short-term</v>
      </c>
      <c r="H54" s="148"/>
    </row>
    <row r="55" spans="1:8" ht="15" customHeight="1" x14ac:dyDescent="0.25">
      <c r="A55" s="131" t="s">
        <v>844</v>
      </c>
      <c r="B55" s="109"/>
      <c r="C55" s="109"/>
      <c r="D55" s="109"/>
      <c r="E55" s="109"/>
      <c r="F55" s="109"/>
      <c r="G55" s="109"/>
      <c r="H55" s="109"/>
    </row>
    <row r="56" spans="1:8" ht="15" customHeight="1" x14ac:dyDescent="0.25">
      <c r="A56" s="132" t="s">
        <v>845</v>
      </c>
      <c r="D56" s="330">
        <f>SUMPRODUCT((G40:G54="Short-term")*(F40:F54&gt;0)*F40:F54)</f>
        <v>0</v>
      </c>
    </row>
    <row r="57" spans="1:8" ht="15" customHeight="1" x14ac:dyDescent="0.25">
      <c r="A57" s="132" t="s">
        <v>846</v>
      </c>
      <c r="D57" s="330">
        <f>SUMPRODUCT((G40:G54="Short-term")*(F40:F54&lt;0)*F40:F54)</f>
        <v>0</v>
      </c>
    </row>
    <row r="58" spans="1:8" ht="15" customHeight="1" x14ac:dyDescent="0.25">
      <c r="A58" s="132" t="s">
        <v>847</v>
      </c>
      <c r="D58" s="330">
        <f>SUMPRODUCT((G40:G54="Long-term")*(F40:F54&gt;0)*F40:F54)</f>
        <v>0</v>
      </c>
    </row>
    <row r="59" spans="1:8" ht="15" customHeight="1" x14ac:dyDescent="0.25">
      <c r="A59" s="132" t="s">
        <v>848</v>
      </c>
      <c r="D59" s="330">
        <f>SUMPRODUCT((G40:G54="Long-term")*(F40:F54&lt;0)*F40:F54)</f>
        <v>0</v>
      </c>
    </row>
    <row r="60" spans="1:8" ht="15" customHeight="1" x14ac:dyDescent="0.25">
      <c r="A60" s="134" t="s">
        <v>849</v>
      </c>
      <c r="D60" s="319">
        <f>D56+D57</f>
        <v>0</v>
      </c>
    </row>
    <row r="61" spans="1:8" ht="15" customHeight="1" x14ac:dyDescent="0.25">
      <c r="A61" s="134" t="s">
        <v>850</v>
      </c>
      <c r="D61" s="319">
        <f>D58+D59</f>
        <v>0</v>
      </c>
    </row>
    <row r="62" spans="1:8" ht="15" customHeight="1" x14ac:dyDescent="0.25">
      <c r="A62" s="134" t="s">
        <v>851</v>
      </c>
      <c r="D62" s="316">
        <f>D38</f>
        <v>0</v>
      </c>
    </row>
    <row r="63" spans="1:8" ht="15" customHeight="1" x14ac:dyDescent="0.25">
      <c r="A63" s="133" t="s">
        <v>852</v>
      </c>
      <c r="D63" s="317">
        <f>D60+D61+D38</f>
        <v>0</v>
      </c>
    </row>
    <row r="64" spans="1:8" ht="15" customHeight="1" x14ac:dyDescent="0.25">
      <c r="A64" s="132" t="s">
        <v>853</v>
      </c>
      <c r="D64" s="331">
        <f>IFERROR(IF(D63&lt;0,MAX(D63,-3000),0),0)</f>
        <v>0</v>
      </c>
    </row>
    <row r="65" spans="1:8" ht="15" customHeight="1" x14ac:dyDescent="0.25">
      <c r="A65" s="132" t="s">
        <v>854</v>
      </c>
      <c r="D65" s="332">
        <f>IFERROR(IF(D63&lt;-3000,D63+3000,0),0)</f>
        <v>0</v>
      </c>
    </row>
    <row r="67" spans="1:8" ht="15" customHeight="1" x14ac:dyDescent="0.25">
      <c r="A67" s="441" t="s">
        <v>855</v>
      </c>
      <c r="B67" s="361"/>
      <c r="C67" s="361"/>
      <c r="D67" s="361"/>
      <c r="E67" s="361"/>
      <c r="F67" s="361"/>
      <c r="G67" s="361"/>
      <c r="H67" s="361"/>
    </row>
    <row r="68" spans="1:8" ht="15" customHeight="1" x14ac:dyDescent="0.25">
      <c r="A68" s="134" t="s">
        <v>856</v>
      </c>
      <c r="D68" s="138">
        <f>H19</f>
        <v>0</v>
      </c>
    </row>
    <row r="69" spans="1:8" ht="15" customHeight="1" x14ac:dyDescent="0.25">
      <c r="A69" s="134" t="s">
        <v>857</v>
      </c>
      <c r="D69" s="316">
        <f>H34</f>
        <v>0</v>
      </c>
    </row>
    <row r="70" spans="1:8" ht="15" customHeight="1" x14ac:dyDescent="0.25">
      <c r="A70" s="134" t="s">
        <v>858</v>
      </c>
      <c r="D70" s="316">
        <f>IFERROR(IF(D63&lt;0,MIN(-D63,3000)*$B20,0),0)</f>
        <v>0</v>
      </c>
    </row>
    <row r="71" spans="1:8" ht="15.75" customHeight="1" x14ac:dyDescent="0.3">
      <c r="A71" s="149" t="s">
        <v>859</v>
      </c>
      <c r="D71" s="333">
        <f>D68+D69+D70</f>
        <v>0</v>
      </c>
    </row>
    <row r="72" spans="1:8" x14ac:dyDescent="0.25">
      <c r="D72" s="80"/>
    </row>
    <row r="73" spans="1:8" ht="15" customHeight="1" x14ac:dyDescent="0.25">
      <c r="A73" s="406" t="s">
        <v>1313</v>
      </c>
      <c r="B73" s="361"/>
      <c r="C73" s="361"/>
      <c r="D73" s="361"/>
      <c r="E73" s="361"/>
      <c r="F73" s="361"/>
      <c r="G73" s="361"/>
      <c r="H73" s="361"/>
    </row>
    <row r="74" spans="1:8" ht="15" customHeight="1" x14ac:dyDescent="0.25">
      <c r="A74" s="405" t="s">
        <v>81</v>
      </c>
      <c r="B74" s="361"/>
      <c r="C74" s="361"/>
      <c r="D74" s="361"/>
      <c r="E74" s="361"/>
      <c r="F74" s="361"/>
      <c r="G74" s="361"/>
      <c r="H74" s="361"/>
    </row>
  </sheetData>
  <mergeCells count="12">
    <mergeCell ref="A74:H74"/>
    <mergeCell ref="A2:H2"/>
    <mergeCell ref="A73:H73"/>
    <mergeCell ref="A36:H36"/>
    <mergeCell ref="A1:H1"/>
    <mergeCell ref="A37:H37"/>
    <mergeCell ref="A4:H4"/>
    <mergeCell ref="A67:H67"/>
    <mergeCell ref="A21:H21"/>
    <mergeCell ref="A23:H23"/>
    <mergeCell ref="A5:H5"/>
    <mergeCell ref="A24:H24"/>
  </mergeCells>
  <conditionalFormatting sqref="H40:H54">
    <cfRule type="expression" dxfId="9" priority="2">
      <formula>LEFT(H40,3)="Yes"</formula>
    </cfRule>
  </conditionalFormatting>
  <dataValidations count="3">
    <dataValidation type="list" allowBlank="1" sqref="F26:F33" xr:uid="{00000000-0002-0000-0A00-000000000000}">
      <formula1>"Delayed invoice,Installment sale,Deferred payment,Elect out advance payment"</formula1>
      <formula2>0</formula2>
    </dataValidation>
    <dataValidation type="list" allowBlank="1" sqref="G26:G33" xr:uid="{00000000-0002-0000-0A00-000001000000}">
      <formula1>"✓ Complete,⏳ Planned,— Cancelled"</formula1>
      <formula2>0</formula2>
    </dataValidation>
    <dataValidation type="list" allowBlank="1" sqref="H40:H54" xr:uid="{00000000-0002-0000-0A00-000002000000}">
      <formula1>"No,Yes - Disallowed,Cleared (31+ days)"</formula1>
      <formula2>0</formula2>
    </dataValidation>
  </dataValidations>
  <pageMargins left="0.5" right="0.5" top="0.75" bottom="0.75" header="0.3" footer="0.3"/>
  <pageSetup fitToHeight="0" orientation="landscape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78"/>
  <sheetViews>
    <sheetView zoomScaleNormal="100" workbookViewId="0">
      <pane ySplit="3" topLeftCell="A4" activePane="bottomLeft" state="frozen"/>
      <selection pane="bottomLeft" activeCell="C71" sqref="C71"/>
    </sheetView>
  </sheetViews>
  <sheetFormatPr defaultColWidth="8.7109375" defaultRowHeight="15" x14ac:dyDescent="0.25"/>
  <cols>
    <col min="1" max="1" width="32" customWidth="1"/>
    <col min="2" max="5" width="18" customWidth="1"/>
  </cols>
  <sheetData>
    <row r="1" spans="1:5" ht="23.25" customHeight="1" x14ac:dyDescent="0.35">
      <c r="A1" s="382" t="s">
        <v>860</v>
      </c>
      <c r="B1" s="361"/>
      <c r="C1" s="361"/>
      <c r="D1" s="361"/>
      <c r="E1" s="361"/>
    </row>
    <row r="2" spans="1:5" ht="15" customHeight="1" x14ac:dyDescent="0.25">
      <c r="A2" s="387" t="s">
        <v>861</v>
      </c>
      <c r="B2" s="361"/>
      <c r="C2" s="361"/>
      <c r="D2" s="361"/>
      <c r="E2" s="361"/>
    </row>
    <row r="3" spans="1:5" ht="15" customHeight="1" x14ac:dyDescent="0.25">
      <c r="A3" s="33" t="s">
        <v>862</v>
      </c>
    </row>
    <row r="4" spans="1:5" ht="15" customHeight="1" x14ac:dyDescent="0.25">
      <c r="A4" s="151" t="s">
        <v>863</v>
      </c>
      <c r="B4" s="444" t="s">
        <v>864</v>
      </c>
      <c r="C4" s="361"/>
      <c r="D4" s="152" t="s">
        <v>865</v>
      </c>
      <c r="E4" s="153" t="s">
        <v>866</v>
      </c>
    </row>
    <row r="7" spans="1:5" ht="15" customHeight="1" x14ac:dyDescent="0.25">
      <c r="A7" s="383" t="s">
        <v>867</v>
      </c>
      <c r="B7" s="361"/>
      <c r="C7" s="361"/>
      <c r="D7" s="361"/>
      <c r="E7" s="361"/>
    </row>
    <row r="8" spans="1:5" ht="15" customHeight="1" x14ac:dyDescent="0.25">
      <c r="A8" s="387" t="s">
        <v>868</v>
      </c>
      <c r="B8" s="361"/>
      <c r="C8" s="361"/>
      <c r="D8" s="361"/>
      <c r="E8" s="361"/>
    </row>
    <row r="10" spans="1:5" ht="15" customHeight="1" x14ac:dyDescent="0.25">
      <c r="A10" s="43" t="s">
        <v>869</v>
      </c>
      <c r="B10" s="66"/>
    </row>
    <row r="11" spans="1:5" ht="15" customHeight="1" x14ac:dyDescent="0.25">
      <c r="A11" s="43" t="s">
        <v>870</v>
      </c>
      <c r="B11" s="66"/>
    </row>
    <row r="12" spans="1:5" ht="15" customHeight="1" x14ac:dyDescent="0.25">
      <c r="A12" s="43" t="s">
        <v>871</v>
      </c>
      <c r="B12" s="66"/>
    </row>
    <row r="13" spans="1:5" ht="15" customHeight="1" x14ac:dyDescent="0.25">
      <c r="A13" s="43" t="s">
        <v>872</v>
      </c>
      <c r="B13" s="78"/>
    </row>
    <row r="14" spans="1:5" ht="15" customHeight="1" x14ac:dyDescent="0.25">
      <c r="A14" s="49" t="s">
        <v>873</v>
      </c>
      <c r="B14" s="83">
        <f>B13*12</f>
        <v>0</v>
      </c>
    </row>
    <row r="16" spans="1:5" ht="15" customHeight="1" x14ac:dyDescent="0.25">
      <c r="A16" s="445" t="s">
        <v>874</v>
      </c>
      <c r="B16" s="361"/>
      <c r="C16" s="361"/>
      <c r="D16" s="361"/>
      <c r="E16" s="361"/>
    </row>
    <row r="17" spans="1:5" ht="15" customHeight="1" x14ac:dyDescent="0.25">
      <c r="A17" s="384" t="s">
        <v>875</v>
      </c>
      <c r="B17" s="361"/>
      <c r="C17" s="361"/>
      <c r="D17" s="361"/>
      <c r="E17" s="361"/>
    </row>
    <row r="18" spans="1:5" ht="15" customHeight="1" x14ac:dyDescent="0.25">
      <c r="A18" s="384" t="s">
        <v>876</v>
      </c>
      <c r="B18" s="361"/>
      <c r="C18" s="361"/>
      <c r="D18" s="361"/>
      <c r="E18" s="361"/>
    </row>
    <row r="19" spans="1:5" ht="15" customHeight="1" x14ac:dyDescent="0.25">
      <c r="A19" s="384" t="s">
        <v>877</v>
      </c>
      <c r="B19" s="361"/>
      <c r="C19" s="361"/>
      <c r="D19" s="361"/>
      <c r="E19" s="361"/>
    </row>
    <row r="20" spans="1:5" ht="15" customHeight="1" x14ac:dyDescent="0.25">
      <c r="A20" s="384" t="s">
        <v>878</v>
      </c>
      <c r="B20" s="361"/>
      <c r="C20" s="361"/>
      <c r="D20" s="361"/>
      <c r="E20" s="361"/>
    </row>
    <row r="23" spans="1:5" ht="15" customHeight="1" x14ac:dyDescent="0.25">
      <c r="A23" s="446" t="s">
        <v>879</v>
      </c>
      <c r="B23" s="361"/>
      <c r="C23" s="361"/>
      <c r="D23" s="361"/>
      <c r="E23" s="361"/>
    </row>
    <row r="24" spans="1:5" ht="15" customHeight="1" x14ac:dyDescent="0.25">
      <c r="A24" s="387" t="s">
        <v>880</v>
      </c>
      <c r="B24" s="361"/>
      <c r="C24" s="361"/>
      <c r="D24" s="361"/>
      <c r="E24" s="361"/>
    </row>
    <row r="26" spans="1:5" ht="15" customHeight="1" x14ac:dyDescent="0.25">
      <c r="A26" s="413" t="s">
        <v>881</v>
      </c>
      <c r="B26" s="361"/>
      <c r="C26" s="361"/>
    </row>
    <row r="27" spans="1:5" ht="15" customHeight="1" x14ac:dyDescent="0.25">
      <c r="A27" s="43" t="s">
        <v>882</v>
      </c>
      <c r="B27" s="154">
        <v>4300</v>
      </c>
    </row>
    <row r="28" spans="1:5" ht="15" customHeight="1" x14ac:dyDescent="0.25">
      <c r="A28" s="43" t="s">
        <v>883</v>
      </c>
      <c r="B28" s="154">
        <v>8550</v>
      </c>
    </row>
    <row r="29" spans="1:5" ht="15" customHeight="1" x14ac:dyDescent="0.25">
      <c r="A29" s="43" t="s">
        <v>884</v>
      </c>
      <c r="B29" s="154">
        <v>1000</v>
      </c>
    </row>
    <row r="32" spans="1:5" ht="15" customHeight="1" x14ac:dyDescent="0.25">
      <c r="A32" s="413" t="s">
        <v>885</v>
      </c>
      <c r="B32" s="361"/>
      <c r="C32" s="361"/>
    </row>
    <row r="34" spans="1:5" ht="15" customHeight="1" x14ac:dyDescent="0.25">
      <c r="A34" s="43" t="s">
        <v>886</v>
      </c>
      <c r="B34" s="402"/>
      <c r="C34" s="403"/>
    </row>
    <row r="35" spans="1:5" ht="15" customHeight="1" x14ac:dyDescent="0.25">
      <c r="A35" s="43" t="s">
        <v>887</v>
      </c>
      <c r="B35" s="402"/>
      <c r="C35" s="403"/>
    </row>
    <row r="37" spans="1:5" ht="15" customHeight="1" x14ac:dyDescent="0.25">
      <c r="A37" s="43" t="s">
        <v>888</v>
      </c>
      <c r="B37" s="66"/>
    </row>
    <row r="38" spans="1:5" ht="15" customHeight="1" x14ac:dyDescent="0.25">
      <c r="A38" s="43" t="s">
        <v>889</v>
      </c>
      <c r="B38" s="309"/>
    </row>
    <row r="40" spans="1:5" ht="15" customHeight="1" x14ac:dyDescent="0.25">
      <c r="A40" s="49" t="s">
        <v>890</v>
      </c>
      <c r="B40" s="155">
        <f>IF(B37="Family",8550,4300)+IF(B38="Yes",1000,0)</f>
        <v>4300</v>
      </c>
    </row>
    <row r="41" spans="1:5" x14ac:dyDescent="0.25">
      <c r="B41" s="281"/>
    </row>
    <row r="42" spans="1:5" ht="15" customHeight="1" x14ac:dyDescent="0.25">
      <c r="A42" s="43" t="s">
        <v>891</v>
      </c>
      <c r="B42" s="156"/>
    </row>
    <row r="43" spans="1:5" ht="15" customHeight="1" x14ac:dyDescent="0.25">
      <c r="A43" s="49" t="s">
        <v>892</v>
      </c>
      <c r="B43" s="157">
        <f>MAX(0,B40-B42)</f>
        <v>4300</v>
      </c>
    </row>
    <row r="46" spans="1:5" ht="15" customHeight="1" x14ac:dyDescent="0.25">
      <c r="A46" s="386" t="s">
        <v>893</v>
      </c>
      <c r="B46" s="361"/>
      <c r="C46" s="361"/>
      <c r="D46" s="361"/>
      <c r="E46" s="361"/>
    </row>
    <row r="48" spans="1:5" ht="15" customHeight="1" x14ac:dyDescent="0.25">
      <c r="A48" s="49" t="s">
        <v>894</v>
      </c>
      <c r="B48" s="384" t="s">
        <v>895</v>
      </c>
      <c r="C48" s="361"/>
      <c r="D48" s="361"/>
      <c r="E48" s="361"/>
    </row>
    <row r="49" spans="1:5" ht="15" customHeight="1" x14ac:dyDescent="0.25">
      <c r="A49" s="49" t="s">
        <v>896</v>
      </c>
      <c r="B49" s="384" t="s">
        <v>897</v>
      </c>
      <c r="C49" s="361"/>
      <c r="D49" s="361"/>
      <c r="E49" s="361"/>
    </row>
    <row r="50" spans="1:5" ht="15" customHeight="1" x14ac:dyDescent="0.25">
      <c r="A50" s="49" t="s">
        <v>898</v>
      </c>
      <c r="B50" s="384" t="s">
        <v>899</v>
      </c>
      <c r="C50" s="361"/>
      <c r="D50" s="361"/>
      <c r="E50" s="361"/>
    </row>
    <row r="52" spans="1:5" ht="15" customHeight="1" x14ac:dyDescent="0.25">
      <c r="A52" s="445" t="s">
        <v>900</v>
      </c>
      <c r="B52" s="361"/>
      <c r="C52" s="361"/>
      <c r="D52" s="361"/>
      <c r="E52" s="361"/>
    </row>
    <row r="53" spans="1:5" ht="15" customHeight="1" x14ac:dyDescent="0.25">
      <c r="A53" s="384" t="s">
        <v>901</v>
      </c>
      <c r="B53" s="361"/>
      <c r="C53" s="361"/>
      <c r="D53" s="361"/>
      <c r="E53" s="361"/>
    </row>
    <row r="54" spans="1:5" ht="15" customHeight="1" x14ac:dyDescent="0.25">
      <c r="A54" s="384" t="s">
        <v>902</v>
      </c>
      <c r="B54" s="361"/>
      <c r="C54" s="361"/>
      <c r="D54" s="361"/>
      <c r="E54" s="361"/>
    </row>
    <row r="55" spans="1:5" ht="15" customHeight="1" x14ac:dyDescent="0.25">
      <c r="A55" s="384" t="s">
        <v>903</v>
      </c>
      <c r="B55" s="361"/>
      <c r="C55" s="361"/>
      <c r="D55" s="361"/>
      <c r="E55" s="361"/>
    </row>
    <row r="56" spans="1:5" ht="15" customHeight="1" x14ac:dyDescent="0.25">
      <c r="A56" s="384" t="s">
        <v>904</v>
      </c>
      <c r="B56" s="361"/>
      <c r="C56" s="361"/>
      <c r="D56" s="361"/>
      <c r="E56" s="361"/>
    </row>
    <row r="57" spans="1:5" ht="15" customHeight="1" x14ac:dyDescent="0.25">
      <c r="A57" s="384" t="s">
        <v>905</v>
      </c>
      <c r="B57" s="361"/>
      <c r="C57" s="361"/>
      <c r="D57" s="361"/>
      <c r="E57" s="361"/>
    </row>
    <row r="58" spans="1:5" ht="15" customHeight="1" x14ac:dyDescent="0.25">
      <c r="A58" s="384" t="s">
        <v>906</v>
      </c>
      <c r="B58" s="361"/>
      <c r="C58" s="361"/>
      <c r="D58" s="361"/>
      <c r="E58" s="361"/>
    </row>
    <row r="61" spans="1:5" ht="15" customHeight="1" x14ac:dyDescent="0.25">
      <c r="A61" s="447" t="s">
        <v>907</v>
      </c>
      <c r="B61" s="361"/>
      <c r="C61" s="361"/>
      <c r="D61" s="361"/>
      <c r="E61" s="361"/>
    </row>
    <row r="62" spans="1:5" ht="15" customHeight="1" x14ac:dyDescent="0.25">
      <c r="A62" s="384" t="s">
        <v>908</v>
      </c>
      <c r="B62" s="361"/>
      <c r="C62" s="361"/>
      <c r="D62" s="361"/>
      <c r="E62" s="361"/>
    </row>
    <row r="63" spans="1:5" ht="15" customHeight="1" x14ac:dyDescent="0.25">
      <c r="A63" s="384" t="s">
        <v>909</v>
      </c>
      <c r="B63" s="361"/>
      <c r="C63" s="361"/>
      <c r="D63" s="361"/>
      <c r="E63" s="361"/>
    </row>
    <row r="64" spans="1:5" ht="15" customHeight="1" x14ac:dyDescent="0.25">
      <c r="A64" s="384" t="s">
        <v>910</v>
      </c>
      <c r="B64" s="361"/>
      <c r="C64" s="361"/>
      <c r="D64" s="361"/>
      <c r="E64" s="361"/>
    </row>
    <row r="65" spans="1:5" ht="15" customHeight="1" x14ac:dyDescent="0.25">
      <c r="A65" s="384" t="s">
        <v>911</v>
      </c>
      <c r="B65" s="361"/>
      <c r="C65" s="361"/>
      <c r="D65" s="361"/>
      <c r="E65" s="361"/>
    </row>
    <row r="68" spans="1:5" ht="15" customHeight="1" x14ac:dyDescent="0.25">
      <c r="A68" s="383" t="s">
        <v>912</v>
      </c>
      <c r="B68" s="361"/>
      <c r="C68" s="361"/>
      <c r="D68" s="361"/>
      <c r="E68" s="361"/>
    </row>
    <row r="70" spans="1:5" ht="15" customHeight="1" x14ac:dyDescent="0.25">
      <c r="A70" s="43" t="s">
        <v>913</v>
      </c>
      <c r="B70" s="158">
        <f>B14</f>
        <v>0</v>
      </c>
    </row>
    <row r="71" spans="1:5" ht="15" customHeight="1" x14ac:dyDescent="0.25">
      <c r="A71" s="43" t="s">
        <v>914</v>
      </c>
      <c r="B71" s="158">
        <f>B42</f>
        <v>0</v>
      </c>
    </row>
    <row r="72" spans="1:5" ht="15" customHeight="1" x14ac:dyDescent="0.25">
      <c r="A72" s="49" t="s">
        <v>915</v>
      </c>
      <c r="B72" s="159">
        <f>B70+B71</f>
        <v>0</v>
      </c>
    </row>
    <row r="73" spans="1:5" x14ac:dyDescent="0.25">
      <c r="B73" s="281"/>
    </row>
    <row r="74" spans="1:5" ht="15" customHeight="1" x14ac:dyDescent="0.25">
      <c r="A74" s="49" t="s">
        <v>1336</v>
      </c>
      <c r="B74" s="160">
        <f>B72*0.42</f>
        <v>0</v>
      </c>
    </row>
    <row r="75" spans="1:5" ht="15" customHeight="1" x14ac:dyDescent="0.25">
      <c r="A75" s="387" t="s">
        <v>916</v>
      </c>
      <c r="B75" s="361"/>
      <c r="C75" s="361"/>
      <c r="D75" s="361"/>
      <c r="E75" s="361"/>
    </row>
    <row r="77" spans="1:5" ht="15" customHeight="1" x14ac:dyDescent="0.25">
      <c r="A77" s="406" t="s">
        <v>1313</v>
      </c>
      <c r="B77" s="361"/>
      <c r="C77" s="361"/>
      <c r="D77" s="361"/>
      <c r="E77" s="361"/>
    </row>
    <row r="78" spans="1:5" ht="15" customHeight="1" x14ac:dyDescent="0.25">
      <c r="A78" s="405" t="s">
        <v>81</v>
      </c>
      <c r="B78" s="361"/>
      <c r="C78" s="361"/>
      <c r="D78" s="361"/>
      <c r="E78" s="361"/>
    </row>
  </sheetData>
  <mergeCells count="36">
    <mergeCell ref="A1:E1"/>
    <mergeCell ref="A61:E61"/>
    <mergeCell ref="A26:C26"/>
    <mergeCell ref="A65:E65"/>
    <mergeCell ref="A7:E7"/>
    <mergeCell ref="A2:E2"/>
    <mergeCell ref="A8:E8"/>
    <mergeCell ref="A62:E62"/>
    <mergeCell ref="A20:E20"/>
    <mergeCell ref="A52:E52"/>
    <mergeCell ref="A19:E19"/>
    <mergeCell ref="A63:E63"/>
    <mergeCell ref="B48:E48"/>
    <mergeCell ref="A23:E23"/>
    <mergeCell ref="A17:E17"/>
    <mergeCell ref="A53:E53"/>
    <mergeCell ref="A77:E77"/>
    <mergeCell ref="B49:E49"/>
    <mergeCell ref="A24:E24"/>
    <mergeCell ref="A64:E64"/>
    <mergeCell ref="A68:E68"/>
    <mergeCell ref="A58:E58"/>
    <mergeCell ref="B35:C35"/>
    <mergeCell ref="B4:C4"/>
    <mergeCell ref="A78:E78"/>
    <mergeCell ref="B50:E50"/>
    <mergeCell ref="A16:E16"/>
    <mergeCell ref="A54:E54"/>
    <mergeCell ref="A32:C32"/>
    <mergeCell ref="A46:E46"/>
    <mergeCell ref="A75:E75"/>
    <mergeCell ref="A56:E56"/>
    <mergeCell ref="A18:E18"/>
    <mergeCell ref="A55:E55"/>
    <mergeCell ref="A57:E57"/>
    <mergeCell ref="B34:C34"/>
  </mergeCells>
  <dataValidations count="6">
    <dataValidation type="list" allowBlank="1" sqref="B12" xr:uid="{00000000-0002-0000-0B00-000000000000}">
      <formula1>"Self-Only,Self + Spouse,Self + Children,Family"</formula1>
      <formula2>0</formula2>
    </dataValidation>
    <dataValidation type="list" allowBlank="1" sqref="B37" xr:uid="{00000000-0002-0000-0B00-000001000000}">
      <formula1>"Self-Only,Family"</formula1>
      <formula2>0</formula2>
    </dataValidation>
    <dataValidation type="list" allowBlank="1" sqref="B38" xr:uid="{00000000-0002-0000-0B00-000002000000}">
      <formula1>"Yes,No"</formula1>
      <formula2>0</formula2>
    </dataValidation>
    <dataValidation type="list" allowBlank="1" showInputMessage="1" showErrorMessage="1" sqref="B11" xr:uid="{00000000-0002-0000-0B00-000003000000}">
      <formula1>"PPO,HMO,HDHP,EPO"</formula1>
      <formula2>0</formula2>
    </dataValidation>
    <dataValidation type="list" allowBlank="1" showInputMessage="1" showErrorMessage="1" sqref="B35" xr:uid="{36852CE0-D728-4576-8A12-49D7544C9993}">
      <formula1>"Self-Only,Family"</formula1>
    </dataValidation>
    <dataValidation type="list" allowBlank="1" showInputMessage="1" showErrorMessage="1" sqref="B36" xr:uid="{056915E9-2B15-460B-B38A-7526BB3526D6}">
      <formula1>"Yes,No"</formula1>
    </dataValidation>
  </dataValidations>
  <pageMargins left="0.5" right="0.5" top="0.75" bottom="0.75" header="0.3" footer="0.3"/>
  <pageSetup fitToHeight="0" orientation="portrait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63"/>
  <sheetViews>
    <sheetView zoomScaleNormal="100" workbookViewId="0">
      <pane ySplit="5" topLeftCell="A6" activePane="bottomLeft" state="frozen"/>
      <selection pane="bottomLeft" sqref="A1:F1"/>
    </sheetView>
  </sheetViews>
  <sheetFormatPr defaultColWidth="8.7109375" defaultRowHeight="15" x14ac:dyDescent="0.25"/>
  <cols>
    <col min="1" max="1" width="19.42578125" customWidth="1"/>
    <col min="2" max="3" width="12" customWidth="1"/>
    <col min="4" max="4" width="26" customWidth="1"/>
    <col min="5" max="5" width="10" customWidth="1"/>
    <col min="6" max="7" width="12" customWidth="1"/>
    <col min="8" max="8" width="14" customWidth="1"/>
  </cols>
  <sheetData>
    <row r="1" spans="1:6" ht="23.25" customHeight="1" x14ac:dyDescent="0.35">
      <c r="A1" s="382" t="s">
        <v>917</v>
      </c>
      <c r="B1" s="361"/>
      <c r="C1" s="361"/>
      <c r="D1" s="361"/>
      <c r="E1" s="361"/>
      <c r="F1" s="361"/>
    </row>
    <row r="2" spans="1:6" ht="15" customHeight="1" x14ac:dyDescent="0.25">
      <c r="A2" s="387" t="s">
        <v>918</v>
      </c>
      <c r="B2" s="361"/>
      <c r="C2" s="361"/>
      <c r="D2" s="361"/>
      <c r="E2" s="361"/>
      <c r="F2" s="361"/>
    </row>
    <row r="3" spans="1:6" ht="15" customHeight="1" x14ac:dyDescent="0.25">
      <c r="A3" s="33" t="s">
        <v>919</v>
      </c>
    </row>
    <row r="4" spans="1:6" ht="15" customHeight="1" x14ac:dyDescent="0.25">
      <c r="A4" s="445" t="s">
        <v>920</v>
      </c>
      <c r="B4" s="361"/>
      <c r="C4" s="361"/>
      <c r="D4" s="361"/>
      <c r="E4" s="361"/>
      <c r="F4" s="361"/>
    </row>
    <row r="5" spans="1:6" ht="15" customHeight="1" x14ac:dyDescent="0.25">
      <c r="A5" s="384" t="s">
        <v>921</v>
      </c>
      <c r="B5" s="361"/>
      <c r="C5" s="361"/>
      <c r="D5" s="361"/>
      <c r="E5" s="361"/>
      <c r="F5" s="361"/>
    </row>
    <row r="6" spans="1:6" ht="15" customHeight="1" x14ac:dyDescent="0.25">
      <c r="A6" s="384" t="s">
        <v>922</v>
      </c>
      <c r="B6" s="361"/>
      <c r="C6" s="361"/>
      <c r="D6" s="361"/>
      <c r="E6" s="361"/>
      <c r="F6" s="361"/>
    </row>
    <row r="9" spans="1:6" ht="15" customHeight="1" x14ac:dyDescent="0.25">
      <c r="A9" s="383" t="s">
        <v>684</v>
      </c>
      <c r="B9" s="361"/>
      <c r="C9" s="361"/>
      <c r="D9" s="361"/>
      <c r="E9" s="361"/>
      <c r="F9" s="361"/>
    </row>
    <row r="10" spans="1:6" ht="15" customHeight="1" x14ac:dyDescent="0.25">
      <c r="B10" s="139"/>
      <c r="C10" s="139"/>
    </row>
    <row r="11" spans="1:6" ht="15" customHeight="1" x14ac:dyDescent="0.25">
      <c r="A11" s="49" t="s">
        <v>923</v>
      </c>
      <c r="B11" s="416">
        <f>'Client Info'!C5</f>
        <v>0</v>
      </c>
      <c r="C11" s="403"/>
      <c r="D11" s="49" t="s">
        <v>204</v>
      </c>
      <c r="E11" s="65" t="str">
        <f>'Client Info'!C9</f>
        <v>2025</v>
      </c>
    </row>
    <row r="12" spans="1:6" ht="15" customHeight="1" x14ac:dyDescent="0.25">
      <c r="A12" s="49" t="s">
        <v>924</v>
      </c>
      <c r="B12" s="402"/>
      <c r="C12" s="408"/>
      <c r="D12" s="408"/>
      <c r="E12" s="408"/>
      <c r="F12" s="403"/>
    </row>
    <row r="13" spans="1:6" ht="15" customHeight="1" x14ac:dyDescent="0.25">
      <c r="A13" s="49" t="s">
        <v>925</v>
      </c>
      <c r="B13" s="448"/>
      <c r="C13" s="403"/>
      <c r="D13" s="49" t="s">
        <v>203</v>
      </c>
      <c r="E13" s="73"/>
    </row>
    <row r="16" spans="1:6" ht="15" customHeight="1" x14ac:dyDescent="0.25">
      <c r="A16" s="383" t="s">
        <v>926</v>
      </c>
      <c r="B16" s="361"/>
      <c r="C16" s="361"/>
      <c r="D16" s="361"/>
      <c r="E16" s="361"/>
      <c r="F16" s="361"/>
    </row>
    <row r="18" spans="1:6" ht="15" customHeight="1" x14ac:dyDescent="0.25">
      <c r="A18" s="387" t="s">
        <v>927</v>
      </c>
      <c r="B18" s="361"/>
      <c r="C18" s="361"/>
      <c r="D18" s="361"/>
      <c r="E18" s="361"/>
      <c r="F18" s="361"/>
    </row>
    <row r="19" spans="1:6" ht="15" customHeight="1" x14ac:dyDescent="0.25">
      <c r="E19" s="139"/>
    </row>
    <row r="20" spans="1:6" ht="15" customHeight="1" x14ac:dyDescent="0.25">
      <c r="A20" s="384" t="s">
        <v>928</v>
      </c>
      <c r="B20" s="361"/>
      <c r="C20" s="361"/>
      <c r="D20" t="s">
        <v>929</v>
      </c>
      <c r="E20" s="78"/>
    </row>
    <row r="21" spans="1:6" ht="15" customHeight="1" x14ac:dyDescent="0.25">
      <c r="A21" s="384" t="s">
        <v>930</v>
      </c>
      <c r="B21" s="361"/>
      <c r="C21" s="361"/>
      <c r="D21" t="s">
        <v>929</v>
      </c>
      <c r="E21" s="78"/>
      <c r="F21" s="80"/>
    </row>
    <row r="22" spans="1:6" ht="15" customHeight="1" x14ac:dyDescent="0.25">
      <c r="A22" s="384" t="s">
        <v>931</v>
      </c>
      <c r="B22" s="361"/>
      <c r="C22" s="361"/>
      <c r="D22" t="s">
        <v>929</v>
      </c>
      <c r="E22" s="74"/>
      <c r="F22" s="80"/>
    </row>
    <row r="23" spans="1:6" ht="15" customHeight="1" x14ac:dyDescent="0.25">
      <c r="B23" s="139"/>
      <c r="E23" s="80"/>
      <c r="F23" s="80"/>
    </row>
    <row r="24" spans="1:6" ht="15" customHeight="1" x14ac:dyDescent="0.25">
      <c r="A24" s="414" t="s">
        <v>932</v>
      </c>
      <c r="B24" s="361"/>
      <c r="C24" s="361"/>
      <c r="D24" s="361"/>
      <c r="E24" s="74"/>
    </row>
    <row r="27" spans="1:6" ht="15" customHeight="1" x14ac:dyDescent="0.25">
      <c r="A27" s="383" t="s">
        <v>933</v>
      </c>
      <c r="B27" s="361"/>
      <c r="C27" s="361"/>
      <c r="D27" s="361"/>
      <c r="E27" s="415"/>
      <c r="F27" s="361"/>
    </row>
    <row r="28" spans="1:6" x14ac:dyDescent="0.25">
      <c r="F28" s="80"/>
    </row>
    <row r="29" spans="1:6" ht="15" customHeight="1" x14ac:dyDescent="0.25">
      <c r="A29" s="86" t="s">
        <v>576</v>
      </c>
      <c r="B29" s="86" t="s">
        <v>38</v>
      </c>
      <c r="C29" s="86" t="s">
        <v>934</v>
      </c>
      <c r="D29" s="86" t="s">
        <v>935</v>
      </c>
      <c r="E29" s="86" t="s">
        <v>936</v>
      </c>
      <c r="F29" s="334" t="s">
        <v>39</v>
      </c>
    </row>
    <row r="30" spans="1:6" ht="21.75" customHeight="1" x14ac:dyDescent="0.25">
      <c r="A30" s="93">
        <v>1</v>
      </c>
      <c r="B30" s="68"/>
      <c r="C30" s="68"/>
      <c r="D30" s="68"/>
      <c r="E30" s="74">
        <f t="shared" ref="E30:E43" si="0">$E$24</f>
        <v>0</v>
      </c>
      <c r="F30" s="78">
        <f t="shared" ref="F30:F43" si="1">IF(B30&lt;&gt;"",E30,0)</f>
        <v>0</v>
      </c>
    </row>
    <row r="31" spans="1:6" ht="21.75" customHeight="1" x14ac:dyDescent="0.25">
      <c r="A31" s="93">
        <v>2</v>
      </c>
      <c r="B31" s="68"/>
      <c r="C31" s="68"/>
      <c r="D31" s="68"/>
      <c r="E31" s="74">
        <f t="shared" si="0"/>
        <v>0</v>
      </c>
      <c r="F31" s="78">
        <f t="shared" si="1"/>
        <v>0</v>
      </c>
    </row>
    <row r="32" spans="1:6" ht="21.75" customHeight="1" x14ac:dyDescent="0.25">
      <c r="A32" s="93">
        <v>3</v>
      </c>
      <c r="B32" s="68"/>
      <c r="C32" s="68"/>
      <c r="D32" s="68"/>
      <c r="E32" s="74">
        <f t="shared" si="0"/>
        <v>0</v>
      </c>
      <c r="F32" s="78">
        <f t="shared" si="1"/>
        <v>0</v>
      </c>
    </row>
    <row r="33" spans="1:6" ht="21.75" customHeight="1" x14ac:dyDescent="0.25">
      <c r="A33" s="93">
        <v>4</v>
      </c>
      <c r="B33" s="68"/>
      <c r="C33" s="68"/>
      <c r="D33" s="68"/>
      <c r="E33" s="74">
        <f t="shared" si="0"/>
        <v>0</v>
      </c>
      <c r="F33" s="78">
        <f t="shared" si="1"/>
        <v>0</v>
      </c>
    </row>
    <row r="34" spans="1:6" ht="21.75" customHeight="1" x14ac:dyDescent="0.25">
      <c r="A34" s="93">
        <v>5</v>
      </c>
      <c r="B34" s="68"/>
      <c r="C34" s="68"/>
      <c r="D34" s="68"/>
      <c r="E34" s="74">
        <f t="shared" si="0"/>
        <v>0</v>
      </c>
      <c r="F34" s="78">
        <f t="shared" si="1"/>
        <v>0</v>
      </c>
    </row>
    <row r="35" spans="1:6" ht="21.75" customHeight="1" x14ac:dyDescent="0.25">
      <c r="A35" s="93">
        <v>6</v>
      </c>
      <c r="B35" s="68"/>
      <c r="C35" s="68"/>
      <c r="D35" s="68"/>
      <c r="E35" s="74">
        <f t="shared" si="0"/>
        <v>0</v>
      </c>
      <c r="F35" s="78">
        <f t="shared" si="1"/>
        <v>0</v>
      </c>
    </row>
    <row r="36" spans="1:6" ht="21.75" customHeight="1" x14ac:dyDescent="0.25">
      <c r="A36" s="93">
        <v>7</v>
      </c>
      <c r="B36" s="68"/>
      <c r="C36" s="68"/>
      <c r="D36" s="68"/>
      <c r="E36" s="74">
        <f t="shared" si="0"/>
        <v>0</v>
      </c>
      <c r="F36" s="78">
        <f t="shared" si="1"/>
        <v>0</v>
      </c>
    </row>
    <row r="37" spans="1:6" ht="21.75" customHeight="1" x14ac:dyDescent="0.25">
      <c r="A37" s="93">
        <v>8</v>
      </c>
      <c r="B37" s="68"/>
      <c r="C37" s="68"/>
      <c r="D37" s="68"/>
      <c r="E37" s="74">
        <f t="shared" si="0"/>
        <v>0</v>
      </c>
      <c r="F37" s="78">
        <f t="shared" si="1"/>
        <v>0</v>
      </c>
    </row>
    <row r="38" spans="1:6" ht="21.75" customHeight="1" x14ac:dyDescent="0.25">
      <c r="A38" s="93">
        <v>9</v>
      </c>
      <c r="B38" s="68"/>
      <c r="C38" s="68"/>
      <c r="D38" s="68"/>
      <c r="E38" s="74">
        <f t="shared" si="0"/>
        <v>0</v>
      </c>
      <c r="F38" s="78">
        <f t="shared" si="1"/>
        <v>0</v>
      </c>
    </row>
    <row r="39" spans="1:6" ht="21.75" customHeight="1" x14ac:dyDescent="0.25">
      <c r="A39" s="93">
        <v>10</v>
      </c>
      <c r="B39" s="68"/>
      <c r="C39" s="68"/>
      <c r="D39" s="68"/>
      <c r="E39" s="74">
        <f t="shared" si="0"/>
        <v>0</v>
      </c>
      <c r="F39" s="78">
        <f t="shared" si="1"/>
        <v>0</v>
      </c>
    </row>
    <row r="40" spans="1:6" ht="21.75" customHeight="1" x14ac:dyDescent="0.25">
      <c r="A40" s="93">
        <v>11</v>
      </c>
      <c r="B40" s="68"/>
      <c r="C40" s="68"/>
      <c r="D40" s="68"/>
      <c r="E40" s="74">
        <f t="shared" si="0"/>
        <v>0</v>
      </c>
      <c r="F40" s="78">
        <f t="shared" si="1"/>
        <v>0</v>
      </c>
    </row>
    <row r="41" spans="1:6" ht="21.75" customHeight="1" x14ac:dyDescent="0.25">
      <c r="A41" s="93">
        <v>12</v>
      </c>
      <c r="B41" s="68"/>
      <c r="C41" s="68"/>
      <c r="D41" s="68"/>
      <c r="E41" s="74">
        <f t="shared" si="0"/>
        <v>0</v>
      </c>
      <c r="F41" s="78">
        <f t="shared" si="1"/>
        <v>0</v>
      </c>
    </row>
    <row r="42" spans="1:6" ht="21.75" customHeight="1" x14ac:dyDescent="0.25">
      <c r="A42" s="93">
        <v>13</v>
      </c>
      <c r="B42" s="68"/>
      <c r="C42" s="68"/>
      <c r="D42" s="68"/>
      <c r="E42" s="74">
        <f t="shared" si="0"/>
        <v>0</v>
      </c>
      <c r="F42" s="78">
        <f t="shared" si="1"/>
        <v>0</v>
      </c>
    </row>
    <row r="43" spans="1:6" ht="21.75" customHeight="1" x14ac:dyDescent="0.25">
      <c r="A43" s="93">
        <v>14</v>
      </c>
      <c r="B43" s="68"/>
      <c r="C43" s="68"/>
      <c r="D43" s="68"/>
      <c r="E43" s="74">
        <f t="shared" si="0"/>
        <v>0</v>
      </c>
      <c r="F43" s="78">
        <f t="shared" si="1"/>
        <v>0</v>
      </c>
    </row>
    <row r="45" spans="1:6" ht="15" customHeight="1" x14ac:dyDescent="0.25">
      <c r="A45" s="414" t="s">
        <v>937</v>
      </c>
      <c r="B45" s="361"/>
      <c r="C45" s="361"/>
      <c r="D45" s="361"/>
      <c r="E45" s="95">
        <f>COUNTA(B30:B43)</f>
        <v>0</v>
      </c>
      <c r="F45" s="304"/>
    </row>
    <row r="46" spans="1:6" ht="15" customHeight="1" x14ac:dyDescent="0.25">
      <c r="A46" s="384" t="s">
        <v>938</v>
      </c>
      <c r="B46" s="361"/>
      <c r="C46" s="361"/>
      <c r="D46" s="361"/>
      <c r="E46" s="66">
        <f>14-E45</f>
        <v>14</v>
      </c>
    </row>
    <row r="48" spans="1:6" ht="15" customHeight="1" x14ac:dyDescent="0.25">
      <c r="A48" s="450" t="s">
        <v>939</v>
      </c>
      <c r="B48" s="361"/>
      <c r="C48" s="361"/>
      <c r="D48" s="361"/>
      <c r="E48" s="361"/>
      <c r="F48" s="161">
        <f>SUM(F30:F43)</f>
        <v>0</v>
      </c>
    </row>
    <row r="50" spans="1:6" ht="15" customHeight="1" x14ac:dyDescent="0.25">
      <c r="A50" s="449" t="s">
        <v>940</v>
      </c>
      <c r="B50" s="361"/>
      <c r="C50" s="361"/>
      <c r="D50" s="361"/>
      <c r="E50" s="361"/>
      <c r="F50" s="361"/>
    </row>
    <row r="53" spans="1:6" ht="15" customHeight="1" x14ac:dyDescent="0.25">
      <c r="A53" s="383" t="s">
        <v>941</v>
      </c>
      <c r="B53" s="361"/>
      <c r="C53" s="361"/>
      <c r="D53" s="361"/>
      <c r="E53" s="361"/>
      <c r="F53" s="361"/>
    </row>
    <row r="55" spans="1:6" ht="15" customHeight="1" x14ac:dyDescent="0.25">
      <c r="A55" s="384" t="s">
        <v>942</v>
      </c>
      <c r="B55" s="361"/>
      <c r="C55" s="361"/>
      <c r="D55" s="361"/>
      <c r="E55" s="361"/>
      <c r="F55" s="361"/>
    </row>
    <row r="56" spans="1:6" ht="15" customHeight="1" x14ac:dyDescent="0.25">
      <c r="A56" s="384" t="s">
        <v>943</v>
      </c>
      <c r="B56" s="361"/>
      <c r="C56" s="361"/>
      <c r="D56" s="361"/>
      <c r="E56" s="361"/>
      <c r="F56" s="361"/>
    </row>
    <row r="57" spans="1:6" ht="15" customHeight="1" x14ac:dyDescent="0.25">
      <c r="A57" s="384" t="s">
        <v>944</v>
      </c>
      <c r="B57" s="361"/>
      <c r="C57" s="361"/>
      <c r="D57" s="361"/>
      <c r="E57" s="361"/>
      <c r="F57" s="361"/>
    </row>
    <row r="58" spans="1:6" ht="15" customHeight="1" x14ac:dyDescent="0.25">
      <c r="A58" s="384" t="s">
        <v>945</v>
      </c>
      <c r="B58" s="361"/>
      <c r="C58" s="361"/>
      <c r="D58" s="361"/>
      <c r="E58" s="361"/>
      <c r="F58" s="361"/>
    </row>
    <row r="59" spans="1:6" ht="15" customHeight="1" x14ac:dyDescent="0.25">
      <c r="A59" s="384" t="s">
        <v>946</v>
      </c>
      <c r="B59" s="361"/>
      <c r="C59" s="361"/>
      <c r="D59" s="361"/>
      <c r="E59" s="361"/>
      <c r="F59" s="361"/>
    </row>
    <row r="60" spans="1:6" ht="15" customHeight="1" x14ac:dyDescent="0.25">
      <c r="A60" s="384" t="s">
        <v>947</v>
      </c>
      <c r="B60" s="361"/>
      <c r="C60" s="361"/>
      <c r="D60" s="361"/>
      <c r="E60" s="361"/>
      <c r="F60" s="361"/>
    </row>
    <row r="62" spans="1:6" ht="15" customHeight="1" x14ac:dyDescent="0.25">
      <c r="A62" s="406" t="s">
        <v>1313</v>
      </c>
      <c r="B62" s="361"/>
      <c r="C62" s="361"/>
      <c r="D62" s="361"/>
      <c r="E62" s="361"/>
      <c r="F62" s="361"/>
    </row>
    <row r="63" spans="1:6" ht="15" customHeight="1" x14ac:dyDescent="0.25">
      <c r="A63" s="405" t="s">
        <v>81</v>
      </c>
      <c r="B63" s="361"/>
      <c r="C63" s="361"/>
      <c r="D63" s="361"/>
      <c r="E63" s="361"/>
      <c r="F63" s="361"/>
    </row>
  </sheetData>
  <mergeCells count="29">
    <mergeCell ref="A57:F57"/>
    <mergeCell ref="A2:F2"/>
    <mergeCell ref="B12:F12"/>
    <mergeCell ref="B11:C11"/>
    <mergeCell ref="A5:F5"/>
    <mergeCell ref="A22:C22"/>
    <mergeCell ref="A24:D24"/>
    <mergeCell ref="A4:F4"/>
    <mergeCell ref="A16:F16"/>
    <mergeCell ref="A48:E48"/>
    <mergeCell ref="A27:F27"/>
    <mergeCell ref="A21:C21"/>
    <mergeCell ref="A18:F18"/>
    <mergeCell ref="A1:F1"/>
    <mergeCell ref="A6:F6"/>
    <mergeCell ref="A63:F63"/>
    <mergeCell ref="A9:F9"/>
    <mergeCell ref="A58:F58"/>
    <mergeCell ref="A46:D46"/>
    <mergeCell ref="A59:F59"/>
    <mergeCell ref="A60:F60"/>
    <mergeCell ref="A62:F62"/>
    <mergeCell ref="A53:F53"/>
    <mergeCell ref="A20:C20"/>
    <mergeCell ref="B13:C13"/>
    <mergeCell ref="A45:D45"/>
    <mergeCell ref="A50:F50"/>
    <mergeCell ref="A56:F56"/>
    <mergeCell ref="A55:F55"/>
  </mergeCells>
  <conditionalFormatting sqref="E43">
    <cfRule type="cellIs" dxfId="8" priority="7" operator="greaterThan">
      <formula>14</formula>
    </cfRule>
  </conditionalFormatting>
  <conditionalFormatting sqref="E44">
    <cfRule type="cellIs" dxfId="7" priority="8" operator="lessThanOrEqual">
      <formula>0</formula>
    </cfRule>
  </conditionalFormatting>
  <conditionalFormatting sqref="E45">
    <cfRule type="expression" dxfId="6" priority="2">
      <formula>$E$45&gt;=14</formula>
    </cfRule>
    <cfRule type="expression" dxfId="5" priority="3">
      <formula>AND($E$45&gt;=12,$E$45&lt;14)</formula>
    </cfRule>
    <cfRule type="cellIs" dxfId="4" priority="4" operator="greaterThan">
      <formula>14</formula>
    </cfRule>
  </conditionalFormatting>
  <conditionalFormatting sqref="E46">
    <cfRule type="cellIs" dxfId="3" priority="5" operator="lessThan">
      <formula>0</formula>
    </cfRule>
    <cfRule type="cellIs" dxfId="2" priority="6" operator="greaterThan">
      <formula>0</formula>
    </cfRule>
  </conditionalFormatting>
  <pageMargins left="0.5" right="0.5" top="0.75" bottom="0.75" header="0.3" footer="0.3"/>
  <pageSetup fitToHeight="0" orientation="landscape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92"/>
  <sheetViews>
    <sheetView zoomScaleNormal="100" workbookViewId="0">
      <pane ySplit="3" topLeftCell="A4" activePane="bottomLeft" state="frozen"/>
      <selection pane="bottomLeft" sqref="A1:H1"/>
    </sheetView>
  </sheetViews>
  <sheetFormatPr defaultColWidth="8.7109375" defaultRowHeight="15" x14ac:dyDescent="0.25"/>
  <cols>
    <col min="1" max="1" width="29.85546875" customWidth="1"/>
    <col min="4" max="4" width="14.5703125" customWidth="1"/>
    <col min="6" max="6" width="13.5703125" customWidth="1"/>
    <col min="7" max="7" width="8.85546875" customWidth="1"/>
  </cols>
  <sheetData>
    <row r="1" spans="1:8" ht="23.25" customHeight="1" x14ac:dyDescent="0.35">
      <c r="A1" s="382" t="s">
        <v>948</v>
      </c>
      <c r="B1" s="361"/>
      <c r="C1" s="361"/>
      <c r="D1" s="361"/>
      <c r="E1" s="361"/>
      <c r="F1" s="361"/>
      <c r="G1" s="361"/>
      <c r="H1" s="361"/>
    </row>
    <row r="2" spans="1:8" ht="15" customHeight="1" x14ac:dyDescent="0.25">
      <c r="A2" s="387" t="s">
        <v>949</v>
      </c>
      <c r="B2" s="361"/>
      <c r="C2" s="361"/>
      <c r="D2" s="361"/>
      <c r="E2" s="361"/>
      <c r="F2" s="361"/>
      <c r="G2" s="361"/>
      <c r="H2" s="361"/>
    </row>
    <row r="3" spans="1:8" ht="15" customHeight="1" x14ac:dyDescent="0.25">
      <c r="A3" s="33" t="s">
        <v>950</v>
      </c>
    </row>
    <row r="4" spans="1:8" ht="15" customHeight="1" x14ac:dyDescent="0.25">
      <c r="A4" s="457" t="s">
        <v>951</v>
      </c>
      <c r="B4" s="361"/>
      <c r="C4" s="361"/>
      <c r="D4" s="361"/>
      <c r="E4" s="361"/>
      <c r="F4" s="361"/>
      <c r="G4" s="361"/>
      <c r="H4" s="361"/>
    </row>
    <row r="5" spans="1:8" ht="15" customHeight="1" x14ac:dyDescent="0.25">
      <c r="A5" s="384" t="s">
        <v>952</v>
      </c>
      <c r="B5" s="361"/>
      <c r="C5" s="361"/>
      <c r="D5" s="361"/>
      <c r="E5" s="361"/>
      <c r="F5" s="361"/>
      <c r="G5" s="361"/>
      <c r="H5" s="361"/>
    </row>
    <row r="6" spans="1:8" ht="15" customHeight="1" x14ac:dyDescent="0.25">
      <c r="A6" s="384" t="s">
        <v>953</v>
      </c>
      <c r="B6" s="361"/>
      <c r="C6" s="361"/>
      <c r="D6" s="361"/>
      <c r="E6" s="361"/>
      <c r="F6" s="361"/>
      <c r="G6" s="361"/>
      <c r="H6" s="361"/>
    </row>
    <row r="7" spans="1:8" ht="15" customHeight="1" x14ac:dyDescent="0.25">
      <c r="A7" s="384" t="s">
        <v>954</v>
      </c>
      <c r="B7" s="361"/>
      <c r="C7" s="361"/>
      <c r="D7" s="361"/>
      <c r="E7" s="361"/>
      <c r="F7" s="361"/>
      <c r="G7" s="361"/>
      <c r="H7" s="361"/>
    </row>
    <row r="8" spans="1:8" ht="15" customHeight="1" x14ac:dyDescent="0.25">
      <c r="A8" s="384" t="s">
        <v>955</v>
      </c>
      <c r="B8" s="361"/>
      <c r="C8" s="361"/>
      <c r="D8" s="361"/>
      <c r="E8" s="361"/>
      <c r="F8" s="361"/>
      <c r="G8" s="361"/>
      <c r="H8" s="361"/>
    </row>
    <row r="10" spans="1:8" ht="15" customHeight="1" x14ac:dyDescent="0.25">
      <c r="A10" s="446" t="s">
        <v>956</v>
      </c>
      <c r="B10" s="361"/>
      <c r="C10" s="361"/>
      <c r="D10" s="361"/>
      <c r="E10" s="361"/>
      <c r="F10" s="361"/>
      <c r="G10" s="361"/>
      <c r="H10" s="361"/>
    </row>
    <row r="12" spans="1:8" ht="15" customHeight="1" x14ac:dyDescent="0.25">
      <c r="A12" s="49" t="s">
        <v>422</v>
      </c>
      <c r="B12" s="402"/>
      <c r="C12" s="403"/>
      <c r="D12" s="49" t="s">
        <v>957</v>
      </c>
      <c r="E12" s="66"/>
      <c r="F12" s="139"/>
    </row>
    <row r="13" spans="1:8" ht="15" customHeight="1" x14ac:dyDescent="0.25">
      <c r="A13" s="49" t="s">
        <v>958</v>
      </c>
      <c r="B13" s="402"/>
      <c r="C13" s="403"/>
      <c r="D13" s="49" t="s">
        <v>959</v>
      </c>
      <c r="E13" s="66"/>
      <c r="F13" s="139"/>
    </row>
    <row r="14" spans="1:8" ht="15" customHeight="1" x14ac:dyDescent="0.25">
      <c r="A14" s="49" t="s">
        <v>960</v>
      </c>
      <c r="B14" s="402"/>
      <c r="C14" s="403"/>
      <c r="D14" s="49" t="s">
        <v>961</v>
      </c>
      <c r="E14" s="78"/>
      <c r="F14" s="139"/>
    </row>
    <row r="15" spans="1:8" ht="15" customHeight="1" x14ac:dyDescent="0.25">
      <c r="A15" s="49" t="s">
        <v>962</v>
      </c>
      <c r="B15" s="402"/>
      <c r="C15" s="403"/>
      <c r="D15" s="49" t="s">
        <v>963</v>
      </c>
      <c r="E15" s="73"/>
    </row>
    <row r="17" spans="1:8" ht="15" customHeight="1" x14ac:dyDescent="0.25">
      <c r="A17" s="446" t="s">
        <v>964</v>
      </c>
      <c r="B17" s="361"/>
      <c r="C17" s="361"/>
      <c r="D17" s="361"/>
      <c r="E17" s="361"/>
      <c r="F17" s="361"/>
      <c r="G17" s="361"/>
      <c r="H17" s="361"/>
    </row>
    <row r="18" spans="1:8" ht="15" customHeight="1" x14ac:dyDescent="0.25">
      <c r="B18" s="139"/>
      <c r="C18" s="139"/>
      <c r="D18" s="139"/>
      <c r="E18" s="139"/>
      <c r="F18" s="139"/>
      <c r="G18" s="139"/>
    </row>
    <row r="19" spans="1:8" ht="15" customHeight="1" x14ac:dyDescent="0.25">
      <c r="A19" s="49" t="s">
        <v>965</v>
      </c>
      <c r="B19" s="448"/>
      <c r="C19" s="452"/>
      <c r="D19" s="452"/>
      <c r="E19" s="452"/>
      <c r="F19" s="452"/>
      <c r="G19" s="452"/>
      <c r="H19" s="453"/>
    </row>
    <row r="20" spans="1:8" ht="15" customHeight="1" x14ac:dyDescent="0.25">
      <c r="B20" s="454"/>
      <c r="C20" s="455"/>
      <c r="D20" s="455"/>
      <c r="E20" s="455"/>
      <c r="F20" s="455"/>
      <c r="G20" s="455"/>
      <c r="H20" s="456"/>
    </row>
    <row r="22" spans="1:8" ht="15" customHeight="1" x14ac:dyDescent="0.25">
      <c r="A22" s="451" t="s">
        <v>966</v>
      </c>
      <c r="B22" s="361"/>
      <c r="C22" s="361"/>
      <c r="D22" s="361"/>
      <c r="E22" s="361"/>
      <c r="F22" s="361"/>
      <c r="G22" s="361"/>
      <c r="H22" s="361"/>
    </row>
    <row r="23" spans="1:8" ht="15" customHeight="1" x14ac:dyDescent="0.25">
      <c r="A23" s="387" t="s">
        <v>967</v>
      </c>
      <c r="B23" s="361"/>
      <c r="C23" s="361"/>
      <c r="D23" s="361"/>
      <c r="E23" s="361"/>
      <c r="F23" s="361"/>
      <c r="G23" s="361"/>
      <c r="H23" s="361"/>
    </row>
    <row r="24" spans="1:8" ht="15" customHeight="1" x14ac:dyDescent="0.25">
      <c r="A24" s="387" t="s">
        <v>968</v>
      </c>
      <c r="B24" s="361"/>
      <c r="C24" s="361"/>
      <c r="D24" s="361"/>
      <c r="E24" s="361"/>
      <c r="F24" s="361"/>
      <c r="G24" s="361"/>
      <c r="H24" s="361"/>
    </row>
    <row r="25" spans="1:8" ht="15" customHeight="1" x14ac:dyDescent="0.25">
      <c r="A25" s="387" t="s">
        <v>969</v>
      </c>
      <c r="B25" s="361"/>
      <c r="C25" s="361"/>
      <c r="D25" s="361"/>
      <c r="E25" s="361"/>
      <c r="F25" s="361"/>
      <c r="G25" s="361"/>
      <c r="H25" s="361"/>
    </row>
    <row r="26" spans="1:8" ht="15" customHeight="1" x14ac:dyDescent="0.25">
      <c r="A26" s="387" t="s">
        <v>970</v>
      </c>
      <c r="B26" s="361"/>
      <c r="C26" s="361"/>
      <c r="D26" s="361"/>
      <c r="E26" s="361"/>
      <c r="F26" s="361"/>
      <c r="G26" s="361"/>
      <c r="H26" s="361"/>
    </row>
    <row r="28" spans="1:8" ht="15" customHeight="1" x14ac:dyDescent="0.25">
      <c r="A28" s="446" t="s">
        <v>971</v>
      </c>
      <c r="B28" s="361"/>
      <c r="C28" s="361"/>
      <c r="D28" s="361"/>
      <c r="E28" s="361"/>
      <c r="F28" s="361"/>
      <c r="G28" s="361"/>
      <c r="H28" s="361"/>
    </row>
    <row r="30" spans="1:8" ht="15" customHeight="1" x14ac:dyDescent="0.25">
      <c r="A30" s="387" t="s">
        <v>972</v>
      </c>
      <c r="B30" s="361"/>
      <c r="C30" s="361"/>
      <c r="D30" s="361"/>
      <c r="E30" s="361"/>
      <c r="F30" s="361"/>
      <c r="G30" s="361"/>
      <c r="H30" s="361"/>
    </row>
    <row r="32" spans="1:8" ht="15" customHeight="1" x14ac:dyDescent="0.25">
      <c r="A32" s="384" t="s">
        <v>928</v>
      </c>
      <c r="B32" s="361"/>
      <c r="C32" s="361"/>
      <c r="D32" s="361"/>
      <c r="E32" s="43" t="s">
        <v>973</v>
      </c>
      <c r="F32" s="74"/>
    </row>
    <row r="33" spans="1:8" ht="15" customHeight="1" x14ac:dyDescent="0.25">
      <c r="A33" s="384" t="s">
        <v>930</v>
      </c>
      <c r="B33" s="361"/>
      <c r="C33" s="361"/>
      <c r="D33" s="361"/>
      <c r="E33" s="43" t="s">
        <v>973</v>
      </c>
      <c r="F33" s="74"/>
    </row>
    <row r="34" spans="1:8" ht="15" customHeight="1" x14ac:dyDescent="0.25">
      <c r="A34" s="384" t="s">
        <v>931</v>
      </c>
      <c r="B34" s="361"/>
      <c r="C34" s="361"/>
      <c r="D34" s="361"/>
      <c r="E34" s="43" t="s">
        <v>973</v>
      </c>
      <c r="F34" s="74"/>
    </row>
    <row r="36" spans="1:8" ht="15" customHeight="1" x14ac:dyDescent="0.25">
      <c r="A36" s="414" t="s">
        <v>974</v>
      </c>
      <c r="B36" s="361"/>
      <c r="C36" s="361"/>
      <c r="D36" s="361"/>
      <c r="E36" s="361"/>
      <c r="F36" s="74"/>
    </row>
    <row r="39" spans="1:8" ht="15" customHeight="1" x14ac:dyDescent="0.25">
      <c r="A39" s="446" t="s">
        <v>975</v>
      </c>
      <c r="B39" s="361"/>
      <c r="C39" s="361"/>
      <c r="D39" s="361"/>
      <c r="E39" s="361"/>
      <c r="F39" s="361"/>
      <c r="G39" s="361"/>
      <c r="H39" s="361"/>
    </row>
    <row r="41" spans="1:8" ht="15" customHeight="1" x14ac:dyDescent="0.25">
      <c r="A41" s="86" t="s">
        <v>576</v>
      </c>
      <c r="B41" s="162" t="s">
        <v>38</v>
      </c>
      <c r="C41" s="86" t="s">
        <v>976</v>
      </c>
      <c r="D41" s="86" t="s">
        <v>977</v>
      </c>
      <c r="E41" s="86" t="s">
        <v>978</v>
      </c>
      <c r="F41" s="86" t="s">
        <v>979</v>
      </c>
      <c r="G41" s="86" t="s">
        <v>980</v>
      </c>
      <c r="H41" s="86" t="s">
        <v>981</v>
      </c>
    </row>
    <row r="42" spans="1:8" ht="21.75" customHeight="1" x14ac:dyDescent="0.25">
      <c r="A42" s="93">
        <v>1</v>
      </c>
      <c r="B42" s="66"/>
      <c r="C42" s="73"/>
      <c r="D42" s="73"/>
      <c r="E42" s="163"/>
      <c r="F42" s="73"/>
      <c r="G42" s="73"/>
      <c r="H42" s="164">
        <f t="shared" ref="H42:H56" si="0">IF(E42&gt;0,E42*$F$36,0)</f>
        <v>0</v>
      </c>
    </row>
    <row r="43" spans="1:8" ht="21.75" customHeight="1" x14ac:dyDescent="0.25">
      <c r="A43" s="93">
        <v>2</v>
      </c>
      <c r="B43" s="66"/>
      <c r="C43" s="73"/>
      <c r="D43" s="73"/>
      <c r="E43" s="163"/>
      <c r="F43" s="73"/>
      <c r="G43" s="73"/>
      <c r="H43" s="164">
        <f t="shared" si="0"/>
        <v>0</v>
      </c>
    </row>
    <row r="44" spans="1:8" ht="21.75" customHeight="1" x14ac:dyDescent="0.25">
      <c r="A44" s="93">
        <v>3</v>
      </c>
      <c r="B44" s="73"/>
      <c r="C44" s="73"/>
      <c r="D44" s="73"/>
      <c r="E44" s="163"/>
      <c r="F44" s="73"/>
      <c r="G44" s="73"/>
      <c r="H44" s="164">
        <f t="shared" si="0"/>
        <v>0</v>
      </c>
    </row>
    <row r="45" spans="1:8" ht="21.75" customHeight="1" x14ac:dyDescent="0.25">
      <c r="A45" s="93">
        <v>4</v>
      </c>
      <c r="B45" s="73"/>
      <c r="C45" s="73"/>
      <c r="D45" s="73"/>
      <c r="E45" s="163"/>
      <c r="F45" s="73"/>
      <c r="G45" s="73"/>
      <c r="H45" s="164">
        <f t="shared" si="0"/>
        <v>0</v>
      </c>
    </row>
    <row r="46" spans="1:8" ht="21.75" customHeight="1" x14ac:dyDescent="0.25">
      <c r="A46" s="93">
        <v>5</v>
      </c>
      <c r="B46" s="68"/>
      <c r="C46" s="68"/>
      <c r="D46" s="68"/>
      <c r="E46" s="165"/>
      <c r="F46" s="68"/>
      <c r="G46" s="68"/>
      <c r="H46" s="164">
        <f t="shared" si="0"/>
        <v>0</v>
      </c>
    </row>
    <row r="47" spans="1:8" ht="21.75" customHeight="1" x14ac:dyDescent="0.25">
      <c r="A47" s="93">
        <v>6</v>
      </c>
      <c r="B47" s="68"/>
      <c r="C47" s="68"/>
      <c r="D47" s="68"/>
      <c r="E47" s="165"/>
      <c r="F47" s="68"/>
      <c r="G47" s="68"/>
      <c r="H47" s="164">
        <f t="shared" si="0"/>
        <v>0</v>
      </c>
    </row>
    <row r="48" spans="1:8" ht="21.75" customHeight="1" x14ac:dyDescent="0.25">
      <c r="A48" s="93">
        <v>7</v>
      </c>
      <c r="B48" s="68"/>
      <c r="C48" s="68"/>
      <c r="D48" s="68"/>
      <c r="E48" s="165"/>
      <c r="F48" s="68"/>
      <c r="G48" s="68"/>
      <c r="H48" s="164">
        <f t="shared" si="0"/>
        <v>0</v>
      </c>
    </row>
    <row r="49" spans="1:8" ht="21.75" customHeight="1" x14ac:dyDescent="0.25">
      <c r="A49" s="93">
        <v>8</v>
      </c>
      <c r="B49" s="68"/>
      <c r="C49" s="68"/>
      <c r="D49" s="68"/>
      <c r="E49" s="165"/>
      <c r="F49" s="68"/>
      <c r="G49" s="68"/>
      <c r="H49" s="164">
        <f t="shared" si="0"/>
        <v>0</v>
      </c>
    </row>
    <row r="50" spans="1:8" ht="21.75" customHeight="1" x14ac:dyDescent="0.25">
      <c r="A50" s="93">
        <v>9</v>
      </c>
      <c r="B50" s="68"/>
      <c r="C50" s="68"/>
      <c r="D50" s="68"/>
      <c r="E50" s="165"/>
      <c r="F50" s="68"/>
      <c r="G50" s="68"/>
      <c r="H50" s="164">
        <f t="shared" si="0"/>
        <v>0</v>
      </c>
    </row>
    <row r="51" spans="1:8" ht="21.75" customHeight="1" x14ac:dyDescent="0.25">
      <c r="A51" s="93">
        <v>10</v>
      </c>
      <c r="B51" s="68"/>
      <c r="C51" s="68"/>
      <c r="D51" s="68"/>
      <c r="E51" s="165"/>
      <c r="F51" s="68"/>
      <c r="G51" s="68"/>
      <c r="H51" s="164">
        <f t="shared" si="0"/>
        <v>0</v>
      </c>
    </row>
    <row r="52" spans="1:8" ht="21.75" customHeight="1" x14ac:dyDescent="0.25">
      <c r="A52" s="93">
        <v>11</v>
      </c>
      <c r="B52" s="68"/>
      <c r="C52" s="68"/>
      <c r="D52" s="68"/>
      <c r="E52" s="165"/>
      <c r="F52" s="68"/>
      <c r="G52" s="68"/>
      <c r="H52" s="164">
        <f t="shared" si="0"/>
        <v>0</v>
      </c>
    </row>
    <row r="53" spans="1:8" ht="21.75" customHeight="1" x14ac:dyDescent="0.25">
      <c r="A53" s="93">
        <v>12</v>
      </c>
      <c r="B53" s="68"/>
      <c r="C53" s="68"/>
      <c r="D53" s="68"/>
      <c r="E53" s="165"/>
      <c r="F53" s="68"/>
      <c r="G53" s="68"/>
      <c r="H53" s="164">
        <f t="shared" si="0"/>
        <v>0</v>
      </c>
    </row>
    <row r="54" spans="1:8" ht="21.75" customHeight="1" x14ac:dyDescent="0.25">
      <c r="A54" s="93">
        <v>13</v>
      </c>
      <c r="B54" s="68"/>
      <c r="C54" s="68"/>
      <c r="D54" s="68"/>
      <c r="E54" s="165"/>
      <c r="F54" s="68"/>
      <c r="G54" s="68"/>
      <c r="H54" s="164">
        <f t="shared" si="0"/>
        <v>0</v>
      </c>
    </row>
    <row r="55" spans="1:8" ht="21.75" customHeight="1" x14ac:dyDescent="0.25">
      <c r="A55" s="93">
        <v>14</v>
      </c>
      <c r="B55" s="68"/>
      <c r="C55" s="68"/>
      <c r="D55" s="68"/>
      <c r="E55" s="165"/>
      <c r="F55" s="68"/>
      <c r="G55" s="68"/>
      <c r="H55" s="164">
        <f t="shared" si="0"/>
        <v>0</v>
      </c>
    </row>
    <row r="56" spans="1:8" ht="21.75" customHeight="1" x14ac:dyDescent="0.25">
      <c r="A56" s="93">
        <v>15</v>
      </c>
      <c r="B56" s="68"/>
      <c r="C56" s="68"/>
      <c r="D56" s="68"/>
      <c r="E56" s="165"/>
      <c r="F56" s="68"/>
      <c r="G56" s="68"/>
      <c r="H56" s="164">
        <f t="shared" si="0"/>
        <v>0</v>
      </c>
    </row>
    <row r="57" spans="1:8" ht="15" customHeight="1" x14ac:dyDescent="0.25">
      <c r="B57" s="147"/>
      <c r="C57" s="147"/>
      <c r="D57" s="147"/>
      <c r="E57" s="147"/>
      <c r="F57" s="147"/>
      <c r="G57" s="147"/>
      <c r="H57" s="80"/>
    </row>
    <row r="58" spans="1:8" ht="15" customHeight="1" x14ac:dyDescent="0.25">
      <c r="A58" s="413" t="s">
        <v>982</v>
      </c>
      <c r="B58" s="361"/>
      <c r="C58" s="361"/>
      <c r="D58" s="361"/>
      <c r="E58" s="166">
        <f>SUM(E42:E56)</f>
        <v>0</v>
      </c>
      <c r="F58" s="167" t="s">
        <v>983</v>
      </c>
      <c r="G58" s="147"/>
      <c r="H58" s="88">
        <f>SUM(H42:H56)</f>
        <v>0</v>
      </c>
    </row>
    <row r="59" spans="1:8" ht="15" customHeight="1" x14ac:dyDescent="0.25">
      <c r="B59" s="147"/>
      <c r="C59" s="147"/>
      <c r="D59" s="147"/>
      <c r="E59" s="147"/>
      <c r="F59" s="147"/>
      <c r="G59" s="147"/>
      <c r="H59" s="304"/>
    </row>
    <row r="60" spans="1:8" ht="15" customHeight="1" x14ac:dyDescent="0.25">
      <c r="B60" s="147"/>
      <c r="C60" s="147"/>
      <c r="D60" s="147"/>
      <c r="E60" s="147"/>
      <c r="F60" s="147"/>
      <c r="G60" s="147"/>
      <c r="H60" s="80"/>
    </row>
    <row r="61" spans="1:8" ht="15" customHeight="1" x14ac:dyDescent="0.25">
      <c r="A61" s="446" t="s">
        <v>984</v>
      </c>
      <c r="B61" s="361"/>
      <c r="C61" s="361"/>
      <c r="D61" s="361"/>
      <c r="E61" s="361"/>
      <c r="F61" s="361"/>
      <c r="G61" s="361"/>
      <c r="H61" s="361"/>
    </row>
    <row r="63" spans="1:8" ht="15" customHeight="1" x14ac:dyDescent="0.25">
      <c r="A63" s="43" t="s">
        <v>985</v>
      </c>
      <c r="B63" s="74">
        <f>E58</f>
        <v>0</v>
      </c>
      <c r="D63" s="458" t="s">
        <v>986</v>
      </c>
      <c r="E63" s="361"/>
      <c r="F63" s="361"/>
      <c r="G63" s="361"/>
      <c r="H63" s="361"/>
    </row>
    <row r="64" spans="1:8" ht="15" customHeight="1" x14ac:dyDescent="0.25">
      <c r="A64" s="43" t="s">
        <v>987</v>
      </c>
      <c r="B64" s="74">
        <f>H58</f>
        <v>0</v>
      </c>
      <c r="D64" s="43" t="s">
        <v>988</v>
      </c>
      <c r="E64" s="335">
        <f>MIN(B64,7000)</f>
        <v>0</v>
      </c>
    </row>
    <row r="65" spans="1:8" ht="15" customHeight="1" x14ac:dyDescent="0.25">
      <c r="A65" s="49" t="s">
        <v>989</v>
      </c>
      <c r="B65" s="78">
        <f>B64*0.0765</f>
        <v>0</v>
      </c>
      <c r="D65" s="387" t="s">
        <v>990</v>
      </c>
      <c r="E65" s="361"/>
      <c r="F65" s="361"/>
      <c r="G65" s="361"/>
      <c r="H65" s="361"/>
    </row>
    <row r="66" spans="1:8" ht="15" customHeight="1" x14ac:dyDescent="0.25">
      <c r="A66" s="49" t="s">
        <v>991</v>
      </c>
      <c r="B66" s="88">
        <f>B64+B65</f>
        <v>0</v>
      </c>
    </row>
    <row r="69" spans="1:8" ht="15" customHeight="1" x14ac:dyDescent="0.25">
      <c r="A69" s="446" t="s">
        <v>992</v>
      </c>
      <c r="B69" s="361"/>
      <c r="C69" s="361"/>
      <c r="D69" s="361"/>
      <c r="E69" s="361"/>
      <c r="F69" s="361"/>
      <c r="G69" s="361"/>
      <c r="H69" s="361"/>
    </row>
    <row r="71" spans="1:8" ht="15" customHeight="1" x14ac:dyDescent="0.25">
      <c r="A71" s="384" t="s">
        <v>993</v>
      </c>
      <c r="B71" s="361"/>
      <c r="C71" s="361"/>
      <c r="D71" s="361"/>
      <c r="E71" s="361"/>
      <c r="F71" s="361"/>
      <c r="G71" s="361"/>
      <c r="H71" s="361"/>
    </row>
    <row r="72" spans="1:8" ht="15" customHeight="1" x14ac:dyDescent="0.25">
      <c r="A72" s="384" t="s">
        <v>994</v>
      </c>
      <c r="B72" s="361"/>
      <c r="C72" s="361"/>
      <c r="D72" s="361"/>
      <c r="E72" s="361"/>
      <c r="F72" s="361"/>
      <c r="G72" s="361"/>
      <c r="H72" s="361"/>
    </row>
    <row r="73" spans="1:8" ht="15" customHeight="1" x14ac:dyDescent="0.25">
      <c r="A73" s="384" t="s">
        <v>995</v>
      </c>
      <c r="B73" s="361"/>
      <c r="C73" s="361"/>
      <c r="D73" s="361"/>
      <c r="E73" s="361"/>
      <c r="F73" s="361"/>
      <c r="G73" s="361"/>
      <c r="H73" s="361"/>
    </row>
    <row r="74" spans="1:8" ht="15" customHeight="1" x14ac:dyDescent="0.25">
      <c r="A74" s="384" t="s">
        <v>996</v>
      </c>
      <c r="B74" s="361"/>
      <c r="C74" s="361"/>
      <c r="D74" s="361"/>
      <c r="E74" s="361"/>
      <c r="F74" s="361"/>
      <c r="G74" s="361"/>
      <c r="H74" s="361"/>
    </row>
    <row r="75" spans="1:8" ht="15" customHeight="1" x14ac:dyDescent="0.25">
      <c r="A75" s="384" t="s">
        <v>997</v>
      </c>
      <c r="B75" s="361"/>
      <c r="C75" s="361"/>
      <c r="D75" s="361"/>
      <c r="E75" s="361"/>
      <c r="F75" s="361"/>
      <c r="G75" s="361"/>
      <c r="H75" s="361"/>
    </row>
    <row r="76" spans="1:8" ht="15" customHeight="1" x14ac:dyDescent="0.25">
      <c r="A76" s="384" t="s">
        <v>998</v>
      </c>
      <c r="B76" s="361"/>
      <c r="C76" s="361"/>
      <c r="D76" s="361"/>
      <c r="E76" s="361"/>
      <c r="F76" s="361"/>
      <c r="G76" s="361"/>
      <c r="H76" s="361"/>
    </row>
    <row r="77" spans="1:8" ht="15" customHeight="1" x14ac:dyDescent="0.25">
      <c r="A77" s="384" t="s">
        <v>999</v>
      </c>
      <c r="B77" s="361"/>
      <c r="C77" s="361"/>
      <c r="D77" s="361"/>
      <c r="E77" s="361"/>
      <c r="F77" s="361"/>
      <c r="G77" s="361"/>
      <c r="H77" s="361"/>
    </row>
    <row r="80" spans="1:8" ht="15" customHeight="1" x14ac:dyDescent="0.25">
      <c r="A80" s="459" t="s">
        <v>1000</v>
      </c>
      <c r="B80" s="361"/>
      <c r="C80" s="361"/>
      <c r="D80" s="361"/>
      <c r="E80" s="361"/>
      <c r="F80" s="361"/>
      <c r="G80" s="361"/>
      <c r="H80" s="361"/>
    </row>
    <row r="81" spans="1:8" ht="15" customHeight="1" x14ac:dyDescent="0.25">
      <c r="A81" s="387" t="s">
        <v>1001</v>
      </c>
      <c r="B81" s="361"/>
      <c r="C81" s="361"/>
      <c r="D81" s="361"/>
      <c r="E81" s="361"/>
      <c r="F81" s="361"/>
      <c r="G81" s="361"/>
      <c r="H81" s="361"/>
    </row>
    <row r="82" spans="1:8" ht="15" customHeight="1" x14ac:dyDescent="0.25">
      <c r="A82" s="387" t="s">
        <v>1002</v>
      </c>
      <c r="B82" s="361"/>
      <c r="C82" s="361"/>
      <c r="D82" s="361"/>
      <c r="E82" s="361"/>
      <c r="F82" s="361"/>
      <c r="G82" s="361"/>
      <c r="H82" s="361"/>
    </row>
    <row r="85" spans="1:8" ht="15" customHeight="1" x14ac:dyDescent="0.25">
      <c r="A85" s="409" t="s">
        <v>1003</v>
      </c>
      <c r="B85" s="361"/>
      <c r="C85" s="361"/>
      <c r="D85" s="361"/>
      <c r="E85" s="361"/>
      <c r="F85" s="361"/>
      <c r="G85" s="361"/>
      <c r="H85" s="361"/>
    </row>
    <row r="86" spans="1:8" ht="15" customHeight="1" x14ac:dyDescent="0.25">
      <c r="A86" s="387" t="s">
        <v>1004</v>
      </c>
      <c r="B86" s="361"/>
      <c r="C86" s="361"/>
      <c r="D86" s="361"/>
      <c r="E86" s="361"/>
      <c r="F86" s="361"/>
      <c r="G86" s="361"/>
      <c r="H86" s="361"/>
    </row>
    <row r="88" spans="1:8" ht="15" customHeight="1" x14ac:dyDescent="0.25">
      <c r="A88" t="s">
        <v>455</v>
      </c>
    </row>
    <row r="89" spans="1:8" ht="15" customHeight="1" x14ac:dyDescent="0.25">
      <c r="A89" t="s">
        <v>1005</v>
      </c>
    </row>
    <row r="91" spans="1:8" ht="15" customHeight="1" x14ac:dyDescent="0.25">
      <c r="A91" s="406" t="s">
        <v>1313</v>
      </c>
      <c r="B91" s="361"/>
      <c r="C91" s="361"/>
      <c r="D91" s="361"/>
      <c r="E91" s="361"/>
      <c r="F91" s="361"/>
      <c r="G91" s="361"/>
      <c r="H91" s="361"/>
    </row>
    <row r="92" spans="1:8" ht="15" customHeight="1" x14ac:dyDescent="0.25">
      <c r="A92" s="405" t="s">
        <v>81</v>
      </c>
      <c r="B92" s="361"/>
      <c r="C92" s="361"/>
      <c r="D92" s="361"/>
      <c r="E92" s="361"/>
      <c r="F92" s="361"/>
      <c r="G92" s="361"/>
      <c r="H92" s="361"/>
    </row>
  </sheetData>
  <mergeCells count="45">
    <mergeCell ref="A92:H92"/>
    <mergeCell ref="A30:H30"/>
    <mergeCell ref="A77:H77"/>
    <mergeCell ref="A39:H39"/>
    <mergeCell ref="A24:H24"/>
    <mergeCell ref="A73:H73"/>
    <mergeCell ref="D63:H63"/>
    <mergeCell ref="A82:H82"/>
    <mergeCell ref="A36:E36"/>
    <mergeCell ref="A69:H69"/>
    <mergeCell ref="A80:H80"/>
    <mergeCell ref="A75:H75"/>
    <mergeCell ref="A74:H74"/>
    <mergeCell ref="A86:H86"/>
    <mergeCell ref="A71:H71"/>
    <mergeCell ref="A85:H85"/>
    <mergeCell ref="A1:H1"/>
    <mergeCell ref="A61:H61"/>
    <mergeCell ref="A6:H6"/>
    <mergeCell ref="D65:H65"/>
    <mergeCell ref="B12:C12"/>
    <mergeCell ref="A58:D58"/>
    <mergeCell ref="A7:H7"/>
    <mergeCell ref="A25:H25"/>
    <mergeCell ref="A34:D34"/>
    <mergeCell ref="B14:C14"/>
    <mergeCell ref="B19:H20"/>
    <mergeCell ref="B13:C13"/>
    <mergeCell ref="A26:H26"/>
    <mergeCell ref="A2:H2"/>
    <mergeCell ref="A4:H4"/>
    <mergeCell ref="A5:H5"/>
    <mergeCell ref="A23:H23"/>
    <mergeCell ref="A8:H8"/>
    <mergeCell ref="A22:H22"/>
    <mergeCell ref="A17:H17"/>
    <mergeCell ref="A91:H91"/>
    <mergeCell ref="B15:C15"/>
    <mergeCell ref="A81:H81"/>
    <mergeCell ref="A72:H72"/>
    <mergeCell ref="A10:H10"/>
    <mergeCell ref="A28:H28"/>
    <mergeCell ref="A33:D33"/>
    <mergeCell ref="A32:D32"/>
    <mergeCell ref="A76:H76"/>
  </mergeCells>
  <dataValidations count="1">
    <dataValidation type="list" allowBlank="1" showInputMessage="1" showErrorMessage="1" sqref="F14" xr:uid="{00000000-0002-0000-0D00-000000000000}">
      <formula1>"Weekly,Bi-Weekly,Semi-Monthly,Monthly"</formula1>
      <formula2>0</formula2>
    </dataValidation>
  </dataValidations>
  <pageMargins left="0.5" right="0.5" top="0.75" bottom="0.75" header="0.3" footer="0.3"/>
  <pageSetup fitToHeight="0" orientation="landscape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59669"/>
    <pageSetUpPr fitToPage="1"/>
  </sheetPr>
  <dimension ref="A1:H87"/>
  <sheetViews>
    <sheetView zoomScaleNormal="100" workbookViewId="0">
      <pane ySplit="3" topLeftCell="A4" activePane="bottomLeft" state="frozen"/>
      <selection pane="bottomLeft" sqref="A1:H1"/>
    </sheetView>
  </sheetViews>
  <sheetFormatPr defaultColWidth="8.7109375" defaultRowHeight="15" x14ac:dyDescent="0.25"/>
  <cols>
    <col min="1" max="1" width="30" customWidth="1"/>
    <col min="2" max="3" width="18" customWidth="1"/>
    <col min="4" max="5" width="16" customWidth="1"/>
    <col min="6" max="6" width="14" customWidth="1"/>
    <col min="7" max="7" width="16" customWidth="1"/>
    <col min="8" max="8" width="18" customWidth="1"/>
  </cols>
  <sheetData>
    <row r="1" spans="1:8" ht="21.75" customHeight="1" x14ac:dyDescent="0.35">
      <c r="A1" s="434" t="s">
        <v>1006</v>
      </c>
      <c r="B1" s="361"/>
      <c r="C1" s="361"/>
      <c r="D1" s="361"/>
      <c r="E1" s="361"/>
      <c r="F1" s="361"/>
      <c r="G1" s="361"/>
      <c r="H1" s="361"/>
    </row>
    <row r="2" spans="1:8" ht="15" customHeight="1" x14ac:dyDescent="0.25">
      <c r="A2" s="439" t="s">
        <v>1007</v>
      </c>
      <c r="B2" s="361"/>
      <c r="C2" s="361"/>
      <c r="D2" s="361"/>
      <c r="E2" s="361"/>
      <c r="F2" s="361"/>
      <c r="G2" s="361"/>
      <c r="H2" s="361"/>
    </row>
    <row r="3" spans="1:8" ht="15" customHeight="1" x14ac:dyDescent="0.25">
      <c r="A3" s="33" t="s">
        <v>1008</v>
      </c>
    </row>
    <row r="4" spans="1:8" ht="15" customHeight="1" x14ac:dyDescent="0.25">
      <c r="A4" s="436" t="s">
        <v>1009</v>
      </c>
      <c r="B4" s="361"/>
      <c r="C4" s="361"/>
      <c r="D4" s="361"/>
      <c r="E4" s="361"/>
      <c r="F4" s="361"/>
      <c r="G4" s="361"/>
      <c r="H4" s="361"/>
    </row>
    <row r="5" spans="1:8" ht="15" customHeight="1" x14ac:dyDescent="0.25">
      <c r="A5" s="438" t="s">
        <v>1010</v>
      </c>
      <c r="B5" s="361"/>
      <c r="C5" s="361"/>
      <c r="D5" s="361"/>
      <c r="E5" s="361"/>
      <c r="F5" s="361"/>
      <c r="G5" s="361"/>
      <c r="H5" s="361"/>
    </row>
    <row r="7" spans="1:8" ht="15" customHeight="1" x14ac:dyDescent="0.25">
      <c r="A7" s="131" t="s">
        <v>1011</v>
      </c>
      <c r="B7" s="109"/>
      <c r="C7" s="109"/>
      <c r="D7" s="109"/>
    </row>
    <row r="8" spans="1:8" ht="15" customHeight="1" x14ac:dyDescent="0.25">
      <c r="A8" s="134" t="s">
        <v>1012</v>
      </c>
      <c r="B8" s="168"/>
    </row>
    <row r="9" spans="1:8" ht="15" customHeight="1" x14ac:dyDescent="0.25">
      <c r="A9" s="134" t="s">
        <v>201</v>
      </c>
      <c r="B9" s="168"/>
    </row>
    <row r="10" spans="1:8" ht="15" customHeight="1" x14ac:dyDescent="0.25">
      <c r="A10" s="134" t="s">
        <v>203</v>
      </c>
      <c r="B10" s="168"/>
    </row>
    <row r="11" spans="1:8" ht="15" customHeight="1" x14ac:dyDescent="0.25">
      <c r="A11" s="134" t="s">
        <v>1013</v>
      </c>
      <c r="B11" s="168"/>
    </row>
    <row r="12" spans="1:8" ht="15" customHeight="1" x14ac:dyDescent="0.25">
      <c r="A12" s="134" t="s">
        <v>1014</v>
      </c>
      <c r="B12" s="168"/>
    </row>
    <row r="14" spans="1:8" ht="15" customHeight="1" x14ac:dyDescent="0.25">
      <c r="A14" s="131" t="s">
        <v>1015</v>
      </c>
      <c r="B14" s="109"/>
      <c r="C14" s="109"/>
      <c r="D14" s="109"/>
      <c r="E14" s="109"/>
    </row>
    <row r="15" spans="1:8" ht="15" customHeight="1" x14ac:dyDescent="0.25">
      <c r="A15" s="144" t="s">
        <v>1016</v>
      </c>
      <c r="B15" s="144" t="s">
        <v>1017</v>
      </c>
      <c r="C15" s="144" t="s">
        <v>1018</v>
      </c>
      <c r="D15" s="144" t="s">
        <v>1019</v>
      </c>
      <c r="E15" s="144" t="s">
        <v>1020</v>
      </c>
      <c r="F15" s="102"/>
      <c r="G15" s="102"/>
      <c r="H15" s="102"/>
    </row>
    <row r="16" spans="1:8" ht="15" customHeight="1" x14ac:dyDescent="0.25">
      <c r="A16" s="126"/>
      <c r="B16" s="126"/>
      <c r="C16" s="169"/>
      <c r="D16" s="169"/>
      <c r="E16" s="136"/>
    </row>
    <row r="17" spans="1:8" ht="15" customHeight="1" x14ac:dyDescent="0.25">
      <c r="A17" s="126"/>
      <c r="B17" s="126"/>
      <c r="C17" s="169"/>
      <c r="D17" s="169"/>
      <c r="E17" s="136"/>
    </row>
    <row r="18" spans="1:8" ht="15" customHeight="1" x14ac:dyDescent="0.25">
      <c r="A18" s="126"/>
      <c r="B18" s="126"/>
      <c r="C18" s="169"/>
      <c r="D18" s="169"/>
      <c r="E18" s="136"/>
    </row>
    <row r="19" spans="1:8" ht="15" customHeight="1" x14ac:dyDescent="0.25">
      <c r="A19" s="126"/>
      <c r="B19" s="126"/>
      <c r="C19" s="169"/>
      <c r="D19" s="169"/>
      <c r="E19" s="136"/>
    </row>
    <row r="20" spans="1:8" ht="15" customHeight="1" x14ac:dyDescent="0.25">
      <c r="A20" s="148"/>
      <c r="B20" s="148"/>
      <c r="C20" s="170"/>
      <c r="D20" s="170"/>
      <c r="E20" s="336"/>
    </row>
    <row r="21" spans="1:8" ht="15" customHeight="1" x14ac:dyDescent="0.25">
      <c r="A21" s="134" t="s">
        <v>1021</v>
      </c>
      <c r="C21" s="171">
        <f>SUM(C16:C20)</f>
        <v>0</v>
      </c>
    </row>
    <row r="23" spans="1:8" ht="15" customHeight="1" x14ac:dyDescent="0.25">
      <c r="A23" s="146" t="s">
        <v>1022</v>
      </c>
      <c r="B23" s="172"/>
      <c r="C23" s="172"/>
      <c r="D23" s="172"/>
      <c r="E23" s="172"/>
      <c r="F23" s="172"/>
      <c r="G23" s="172"/>
      <c r="H23" s="172"/>
    </row>
    <row r="24" spans="1:8" ht="15" customHeight="1" x14ac:dyDescent="0.25">
      <c r="A24" s="144" t="s">
        <v>1023</v>
      </c>
      <c r="B24" s="144" t="s">
        <v>1024</v>
      </c>
      <c r="C24" s="144" t="s">
        <v>978</v>
      </c>
      <c r="D24" s="144" t="s">
        <v>1025</v>
      </c>
      <c r="E24" s="144" t="s">
        <v>1026</v>
      </c>
      <c r="F24" s="144" t="s">
        <v>1027</v>
      </c>
      <c r="G24" s="144" t="s">
        <v>823</v>
      </c>
      <c r="H24" s="144" t="s">
        <v>824</v>
      </c>
    </row>
    <row r="25" spans="1:8" ht="15" customHeight="1" x14ac:dyDescent="0.25">
      <c r="A25" s="126"/>
      <c r="B25" s="126"/>
      <c r="C25" s="126"/>
      <c r="D25" s="136"/>
      <c r="E25" s="136">
        <f t="shared" ref="E25:E36" si="0">IFERROR(C25*D25,0)</f>
        <v>0</v>
      </c>
      <c r="F25" s="126"/>
      <c r="G25" s="126"/>
      <c r="H25" s="126"/>
    </row>
    <row r="26" spans="1:8" ht="15" customHeight="1" x14ac:dyDescent="0.25">
      <c r="A26" s="126"/>
      <c r="B26" s="126"/>
      <c r="C26" s="126"/>
      <c r="D26" s="136"/>
      <c r="E26" s="136">
        <f t="shared" si="0"/>
        <v>0</v>
      </c>
      <c r="F26" s="126"/>
      <c r="G26" s="126"/>
      <c r="H26" s="126"/>
    </row>
    <row r="27" spans="1:8" ht="15" customHeight="1" x14ac:dyDescent="0.25">
      <c r="A27" s="126"/>
      <c r="B27" s="126"/>
      <c r="C27" s="126"/>
      <c r="D27" s="136"/>
      <c r="E27" s="136">
        <f t="shared" si="0"/>
        <v>0</v>
      </c>
      <c r="F27" s="126"/>
      <c r="G27" s="126"/>
      <c r="H27" s="126"/>
    </row>
    <row r="28" spans="1:8" ht="15" customHeight="1" x14ac:dyDescent="0.25">
      <c r="A28" s="126"/>
      <c r="B28" s="126"/>
      <c r="C28" s="126"/>
      <c r="D28" s="136"/>
      <c r="E28" s="136">
        <f t="shared" si="0"/>
        <v>0</v>
      </c>
      <c r="F28" s="126"/>
      <c r="G28" s="126"/>
      <c r="H28" s="126"/>
    </row>
    <row r="29" spans="1:8" ht="15" customHeight="1" x14ac:dyDescent="0.25">
      <c r="A29" s="126"/>
      <c r="B29" s="126"/>
      <c r="C29" s="126"/>
      <c r="D29" s="136"/>
      <c r="E29" s="136">
        <f t="shared" si="0"/>
        <v>0</v>
      </c>
      <c r="F29" s="126"/>
      <c r="G29" s="126"/>
      <c r="H29" s="126"/>
    </row>
    <row r="30" spans="1:8" ht="15" customHeight="1" x14ac:dyDescent="0.25">
      <c r="A30" s="126"/>
      <c r="B30" s="126"/>
      <c r="C30" s="126"/>
      <c r="D30" s="136"/>
      <c r="E30" s="127">
        <f t="shared" si="0"/>
        <v>0</v>
      </c>
      <c r="F30" s="126"/>
      <c r="G30" s="126"/>
      <c r="H30" s="126"/>
    </row>
    <row r="31" spans="1:8" ht="15" customHeight="1" x14ac:dyDescent="0.25">
      <c r="A31" s="126"/>
      <c r="B31" s="126"/>
      <c r="C31" s="126"/>
      <c r="D31" s="136"/>
      <c r="E31" s="127">
        <f t="shared" si="0"/>
        <v>0</v>
      </c>
      <c r="F31" s="126"/>
      <c r="G31" s="126"/>
      <c r="H31" s="126"/>
    </row>
    <row r="32" spans="1:8" ht="15" customHeight="1" x14ac:dyDescent="0.25">
      <c r="A32" s="126"/>
      <c r="B32" s="126"/>
      <c r="C32" s="126"/>
      <c r="D32" s="136"/>
      <c r="E32" s="127">
        <f t="shared" si="0"/>
        <v>0</v>
      </c>
      <c r="F32" s="126"/>
      <c r="G32" s="126"/>
      <c r="H32" s="126"/>
    </row>
    <row r="33" spans="1:8" ht="15" customHeight="1" x14ac:dyDescent="0.25">
      <c r="A33" s="126"/>
      <c r="B33" s="126"/>
      <c r="C33" s="126"/>
      <c r="D33" s="136"/>
      <c r="E33" s="127">
        <f t="shared" si="0"/>
        <v>0</v>
      </c>
      <c r="F33" s="126"/>
      <c r="G33" s="126"/>
      <c r="H33" s="126"/>
    </row>
    <row r="34" spans="1:8" ht="15" customHeight="1" x14ac:dyDescent="0.25">
      <c r="A34" s="126"/>
      <c r="B34" s="126"/>
      <c r="C34" s="126"/>
      <c r="D34" s="136"/>
      <c r="E34" s="127">
        <f t="shared" si="0"/>
        <v>0</v>
      </c>
      <c r="F34" s="126"/>
      <c r="G34" s="126"/>
      <c r="H34" s="126"/>
    </row>
    <row r="35" spans="1:8" ht="15" customHeight="1" x14ac:dyDescent="0.25">
      <c r="A35" s="148"/>
      <c r="B35" s="148"/>
      <c r="C35" s="148"/>
      <c r="D35" s="141"/>
      <c r="E35" s="323">
        <f t="shared" si="0"/>
        <v>0</v>
      </c>
      <c r="F35" s="148"/>
      <c r="G35" s="148"/>
      <c r="H35" s="148"/>
    </row>
    <row r="36" spans="1:8" ht="15" customHeight="1" x14ac:dyDescent="0.25">
      <c r="A36" s="145"/>
      <c r="B36" s="145"/>
      <c r="C36" s="145"/>
      <c r="D36" s="142"/>
      <c r="E36" s="324">
        <f t="shared" si="0"/>
        <v>0</v>
      </c>
      <c r="F36" s="145"/>
      <c r="G36" s="145"/>
      <c r="H36" s="145"/>
    </row>
    <row r="37" spans="1:8" ht="15" customHeight="1" x14ac:dyDescent="0.25">
      <c r="A37" s="134" t="s">
        <v>1028</v>
      </c>
      <c r="C37" s="173">
        <f>SUM(C25:C36)</f>
        <v>0</v>
      </c>
      <c r="E37" s="318">
        <f>SUM(E25:E36)</f>
        <v>0</v>
      </c>
    </row>
    <row r="38" spans="1:8" ht="15" customHeight="1" x14ac:dyDescent="0.25">
      <c r="A38" s="132" t="s">
        <v>1029</v>
      </c>
      <c r="B38" s="174">
        <v>0.37</v>
      </c>
      <c r="E38" s="80"/>
    </row>
    <row r="39" spans="1:8" ht="15" customHeight="1" x14ac:dyDescent="0.25">
      <c r="A39" s="132" t="s">
        <v>1030</v>
      </c>
      <c r="B39" s="174">
        <v>0.15</v>
      </c>
      <c r="E39" s="80"/>
    </row>
    <row r="40" spans="1:8" ht="15" customHeight="1" x14ac:dyDescent="0.25">
      <c r="A40" s="175" t="s">
        <v>1031</v>
      </c>
      <c r="E40" s="337">
        <f>IFERROR(E37*(B38-B39),0)</f>
        <v>0</v>
      </c>
    </row>
    <row r="41" spans="1:8" x14ac:dyDescent="0.25">
      <c r="E41" s="80"/>
    </row>
    <row r="42" spans="1:8" ht="15" customHeight="1" x14ac:dyDescent="0.25">
      <c r="A42" s="440" t="s">
        <v>1032</v>
      </c>
      <c r="B42" s="361"/>
      <c r="C42" s="361"/>
      <c r="D42" s="361"/>
      <c r="E42" s="415"/>
      <c r="F42" s="361"/>
      <c r="G42" s="361"/>
      <c r="H42" s="361"/>
    </row>
    <row r="44" spans="1:8" ht="15" customHeight="1" x14ac:dyDescent="0.25">
      <c r="A44" s="436" t="s">
        <v>1033</v>
      </c>
      <c r="B44" s="361"/>
      <c r="C44" s="361"/>
      <c r="D44" s="361"/>
      <c r="E44" s="415"/>
      <c r="F44" s="361"/>
      <c r="G44" s="361"/>
      <c r="H44" s="361"/>
    </row>
    <row r="45" spans="1:8" ht="15" customHeight="1" x14ac:dyDescent="0.25">
      <c r="A45" s="438" t="s">
        <v>1034</v>
      </c>
      <c r="B45" s="361"/>
      <c r="C45" s="361"/>
      <c r="D45" s="361"/>
      <c r="E45" s="361"/>
      <c r="F45" s="361"/>
      <c r="G45" s="361"/>
      <c r="H45" s="361"/>
    </row>
    <row r="47" spans="1:8" ht="15" customHeight="1" x14ac:dyDescent="0.25">
      <c r="A47" s="102" t="s">
        <v>1035</v>
      </c>
      <c r="B47" s="102" t="s">
        <v>1017</v>
      </c>
      <c r="C47" s="102" t="s">
        <v>1036</v>
      </c>
      <c r="D47" s="102" t="s">
        <v>1025</v>
      </c>
      <c r="E47" s="102" t="s">
        <v>1037</v>
      </c>
      <c r="F47" s="102" t="s">
        <v>1038</v>
      </c>
      <c r="G47" s="102" t="s">
        <v>1019</v>
      </c>
      <c r="H47" s="102" t="s">
        <v>1039</v>
      </c>
    </row>
    <row r="48" spans="1:8" ht="15" customHeight="1" x14ac:dyDescent="0.25">
      <c r="A48" s="148"/>
      <c r="B48" s="148"/>
      <c r="C48" s="148"/>
      <c r="D48" s="141"/>
      <c r="E48" s="148"/>
      <c r="F48" s="141">
        <f t="shared" ref="F48:F53" si="1">IFERROR(D48*E48,0)</f>
        <v>0</v>
      </c>
      <c r="G48" s="170"/>
      <c r="H48" s="148" t="str">
        <f t="shared" ref="H48:H53" si="2">IF(F48&gt;=600,"Yes - 1099-NEC","No")</f>
        <v>No</v>
      </c>
    </row>
    <row r="49" spans="1:8" ht="15" customHeight="1" x14ac:dyDescent="0.25">
      <c r="A49" s="126"/>
      <c r="B49" s="126"/>
      <c r="C49" s="126"/>
      <c r="D49" s="136"/>
      <c r="E49" s="126"/>
      <c r="F49" s="136">
        <f t="shared" si="1"/>
        <v>0</v>
      </c>
      <c r="G49" s="169"/>
      <c r="H49" s="126" t="str">
        <f t="shared" si="2"/>
        <v>No</v>
      </c>
    </row>
    <row r="50" spans="1:8" ht="15" customHeight="1" x14ac:dyDescent="0.25">
      <c r="A50" s="126"/>
      <c r="B50" s="126"/>
      <c r="C50" s="126"/>
      <c r="D50" s="136"/>
      <c r="E50" s="126"/>
      <c r="F50" s="136">
        <f t="shared" si="1"/>
        <v>0</v>
      </c>
      <c r="G50" s="169"/>
      <c r="H50" s="126" t="str">
        <f t="shared" si="2"/>
        <v>No</v>
      </c>
    </row>
    <row r="51" spans="1:8" ht="15" customHeight="1" x14ac:dyDescent="0.25">
      <c r="A51" s="126"/>
      <c r="B51" s="126"/>
      <c r="C51" s="126"/>
      <c r="D51" s="136"/>
      <c r="E51" s="126"/>
      <c r="F51" s="127">
        <f t="shared" si="1"/>
        <v>0</v>
      </c>
      <c r="G51" s="169"/>
      <c r="H51" s="126" t="str">
        <f t="shared" si="2"/>
        <v>No</v>
      </c>
    </row>
    <row r="52" spans="1:8" ht="15" customHeight="1" x14ac:dyDescent="0.25">
      <c r="A52" s="126"/>
      <c r="B52" s="126"/>
      <c r="C52" s="126"/>
      <c r="D52" s="136"/>
      <c r="E52" s="126"/>
      <c r="F52" s="127">
        <f t="shared" si="1"/>
        <v>0</v>
      </c>
      <c r="G52" s="169"/>
      <c r="H52" s="126" t="str">
        <f t="shared" si="2"/>
        <v>No</v>
      </c>
    </row>
    <row r="53" spans="1:8" ht="15" customHeight="1" x14ac:dyDescent="0.25">
      <c r="A53" s="126"/>
      <c r="B53" s="126"/>
      <c r="C53" s="126"/>
      <c r="D53" s="136"/>
      <c r="E53" s="126"/>
      <c r="F53" s="127">
        <f t="shared" si="1"/>
        <v>0</v>
      </c>
      <c r="G53" s="169"/>
      <c r="H53" s="126" t="str">
        <f t="shared" si="2"/>
        <v>No</v>
      </c>
    </row>
    <row r="54" spans="1:8" ht="15" customHeight="1" x14ac:dyDescent="0.25">
      <c r="A54" s="146" t="s">
        <v>1040</v>
      </c>
      <c r="B54" s="147"/>
      <c r="C54" s="147"/>
      <c r="D54" s="147"/>
      <c r="E54" s="172">
        <f>SUM(E48:E53)</f>
        <v>0</v>
      </c>
      <c r="F54" s="338">
        <f>SUM(F48:F53)</f>
        <v>0</v>
      </c>
      <c r="G54" s="147"/>
      <c r="H54" s="147"/>
    </row>
    <row r="55" spans="1:8" ht="15" customHeight="1" x14ac:dyDescent="0.25">
      <c r="A55" s="132" t="s">
        <v>1041</v>
      </c>
      <c r="B55" s="176">
        <f>COUNTIF(H48:H53,"Yes*")</f>
        <v>0</v>
      </c>
      <c r="F55" s="80"/>
    </row>
    <row r="56" spans="1:8" x14ac:dyDescent="0.25">
      <c r="F56" s="80"/>
    </row>
    <row r="57" spans="1:8" ht="15" customHeight="1" x14ac:dyDescent="0.25">
      <c r="A57" s="131" t="s">
        <v>1042</v>
      </c>
      <c r="B57" s="109"/>
      <c r="C57" s="109"/>
      <c r="D57" s="109"/>
      <c r="E57" s="109"/>
      <c r="F57" s="339"/>
    </row>
    <row r="58" spans="1:8" ht="15" customHeight="1" x14ac:dyDescent="0.25">
      <c r="A58" s="102" t="s">
        <v>1043</v>
      </c>
      <c r="B58" s="102" t="s">
        <v>1044</v>
      </c>
      <c r="C58" s="102" t="s">
        <v>1045</v>
      </c>
      <c r="D58" s="102" t="s">
        <v>1046</v>
      </c>
      <c r="E58" s="102" t="s">
        <v>1047</v>
      </c>
      <c r="F58" s="102" t="s">
        <v>1048</v>
      </c>
      <c r="G58" s="102"/>
      <c r="H58" s="102"/>
    </row>
    <row r="59" spans="1:8" ht="15" customHeight="1" x14ac:dyDescent="0.25">
      <c r="A59" s="148"/>
      <c r="B59" s="148"/>
      <c r="C59" s="148"/>
      <c r="D59" s="148"/>
      <c r="E59" s="148"/>
      <c r="F59" s="148"/>
    </row>
    <row r="60" spans="1:8" ht="15" customHeight="1" x14ac:dyDescent="0.25">
      <c r="A60" s="126"/>
      <c r="B60" s="126"/>
      <c r="C60" s="126"/>
      <c r="D60" s="126"/>
      <c r="E60" s="126"/>
      <c r="F60" s="126"/>
    </row>
    <row r="61" spans="1:8" ht="15" customHeight="1" x14ac:dyDescent="0.25">
      <c r="A61" s="126"/>
      <c r="B61" s="126"/>
      <c r="C61" s="126"/>
      <c r="D61" s="126"/>
      <c r="E61" s="126"/>
      <c r="F61" s="126"/>
    </row>
    <row r="62" spans="1:8" ht="15" customHeight="1" x14ac:dyDescent="0.25">
      <c r="A62" s="126"/>
      <c r="B62" s="126"/>
      <c r="C62" s="126"/>
      <c r="D62" s="126"/>
      <c r="E62" s="126"/>
      <c r="F62" s="126"/>
    </row>
    <row r="63" spans="1:8" ht="15" customHeight="1" x14ac:dyDescent="0.25">
      <c r="A63" s="126"/>
      <c r="B63" s="126"/>
      <c r="C63" s="126"/>
      <c r="D63" s="126"/>
      <c r="E63" s="126"/>
      <c r="F63" s="126"/>
    </row>
    <row r="64" spans="1:8" ht="15" customHeight="1" x14ac:dyDescent="0.25">
      <c r="A64" s="126"/>
      <c r="B64" s="126"/>
      <c r="C64" s="126"/>
      <c r="D64" s="126"/>
      <c r="E64" s="126"/>
      <c r="F64" s="126"/>
    </row>
    <row r="65" spans="1:8" ht="15" customHeight="1" x14ac:dyDescent="0.25">
      <c r="A65" s="126"/>
      <c r="B65" s="126"/>
      <c r="C65" s="126"/>
      <c r="D65" s="126"/>
      <c r="E65" s="126"/>
      <c r="F65" s="126"/>
    </row>
    <row r="66" spans="1:8" ht="15" customHeight="1" x14ac:dyDescent="0.25">
      <c r="A66" s="126"/>
      <c r="B66" s="126"/>
      <c r="C66" s="126"/>
      <c r="D66" s="126"/>
      <c r="E66" s="126"/>
      <c r="F66" s="126"/>
    </row>
    <row r="67" spans="1:8" ht="15" customHeight="1" x14ac:dyDescent="0.25">
      <c r="A67" s="146" t="s">
        <v>1049</v>
      </c>
      <c r="B67" s="172">
        <f>COUNTA(A59:A66)</f>
        <v>0</v>
      </c>
      <c r="C67" s="177" t="s">
        <v>1050</v>
      </c>
      <c r="D67" s="172">
        <f>SUM(B59:B66)</f>
        <v>0</v>
      </c>
      <c r="E67" s="147"/>
      <c r="F67" s="147"/>
    </row>
    <row r="68" spans="1:8" ht="15" customHeight="1" x14ac:dyDescent="0.25">
      <c r="A68" s="460" t="s">
        <v>1051</v>
      </c>
      <c r="B68" s="361"/>
      <c r="C68" s="361"/>
      <c r="D68" s="361"/>
      <c r="E68" s="361"/>
      <c r="F68" s="361"/>
      <c r="G68" s="361"/>
      <c r="H68" s="361"/>
    </row>
    <row r="70" spans="1:8" ht="15" customHeight="1" x14ac:dyDescent="0.25">
      <c r="A70" s="441" t="s">
        <v>1052</v>
      </c>
      <c r="B70" s="361"/>
      <c r="C70" s="361"/>
      <c r="D70" s="361"/>
      <c r="E70" s="361"/>
      <c r="F70" s="361"/>
      <c r="G70" s="361"/>
      <c r="H70" s="361"/>
    </row>
    <row r="71" spans="1:8" ht="15" customHeight="1" x14ac:dyDescent="0.25">
      <c r="A71" s="134" t="s">
        <v>1053</v>
      </c>
      <c r="E71" s="138">
        <f>E40</f>
        <v>0</v>
      </c>
    </row>
    <row r="72" spans="1:8" ht="15" customHeight="1" x14ac:dyDescent="0.25">
      <c r="A72" s="134" t="s">
        <v>1054</v>
      </c>
      <c r="E72" s="138">
        <f>F54</f>
        <v>0</v>
      </c>
    </row>
    <row r="73" spans="1:8" ht="15" customHeight="1" x14ac:dyDescent="0.25">
      <c r="A73" s="132" t="s">
        <v>1055</v>
      </c>
      <c r="E73" s="138">
        <f>IFERROR(F54*B38,0)</f>
        <v>0</v>
      </c>
    </row>
    <row r="74" spans="1:8" ht="15.75" customHeight="1" x14ac:dyDescent="0.3">
      <c r="A74" s="149" t="s">
        <v>1056</v>
      </c>
      <c r="E74" s="150">
        <f>E71+E73</f>
        <v>0</v>
      </c>
    </row>
    <row r="76" spans="1:8" ht="15" customHeight="1" x14ac:dyDescent="0.25">
      <c r="A76" s="422" t="s">
        <v>1057</v>
      </c>
      <c r="B76" s="361"/>
      <c r="C76" s="361"/>
      <c r="D76" s="361"/>
      <c r="E76" s="443"/>
      <c r="F76" s="361"/>
      <c r="G76" s="361"/>
      <c r="H76" s="361"/>
    </row>
    <row r="77" spans="1:8" ht="15" customHeight="1" x14ac:dyDescent="0.25">
      <c r="A77" s="435" t="s">
        <v>1058</v>
      </c>
      <c r="B77" s="361"/>
      <c r="C77" s="361"/>
      <c r="D77" s="361"/>
      <c r="E77" s="443"/>
      <c r="F77" s="361"/>
      <c r="G77" s="361"/>
      <c r="H77" s="361"/>
    </row>
    <row r="78" spans="1:8" ht="15" customHeight="1" x14ac:dyDescent="0.25">
      <c r="A78" s="435" t="s">
        <v>1059</v>
      </c>
      <c r="B78" s="361"/>
      <c r="C78" s="361"/>
      <c r="D78" s="361"/>
      <c r="E78" s="443"/>
      <c r="F78" s="361"/>
      <c r="G78" s="361"/>
      <c r="H78" s="361"/>
    </row>
    <row r="79" spans="1:8" ht="15" customHeight="1" x14ac:dyDescent="0.25">
      <c r="A79" s="435" t="s">
        <v>1060</v>
      </c>
      <c r="B79" s="361"/>
      <c r="C79" s="361"/>
      <c r="D79" s="361"/>
      <c r="E79" s="443"/>
      <c r="F79" s="361"/>
      <c r="G79" s="361"/>
      <c r="H79" s="361"/>
    </row>
    <row r="80" spans="1:8" ht="15" customHeight="1" x14ac:dyDescent="0.25">
      <c r="A80" s="435" t="s">
        <v>1061</v>
      </c>
      <c r="B80" s="361"/>
      <c r="C80" s="361"/>
      <c r="D80" s="361"/>
      <c r="E80" s="361"/>
      <c r="F80" s="361"/>
      <c r="G80" s="361"/>
      <c r="H80" s="361"/>
    </row>
    <row r="81" spans="1:8" ht="15" customHeight="1" x14ac:dyDescent="0.25">
      <c r="A81" s="435" t="s">
        <v>1062</v>
      </c>
      <c r="B81" s="361"/>
      <c r="C81" s="361"/>
      <c r="D81" s="361"/>
      <c r="E81" s="361"/>
      <c r="F81" s="361"/>
      <c r="G81" s="361"/>
      <c r="H81" s="361"/>
    </row>
    <row r="82" spans="1:8" ht="15" customHeight="1" x14ac:dyDescent="0.25">
      <c r="A82" s="435" t="s">
        <v>1063</v>
      </c>
      <c r="B82" s="361"/>
      <c r="C82" s="361"/>
      <c r="D82" s="361"/>
      <c r="E82" s="361"/>
      <c r="F82" s="361"/>
      <c r="G82" s="361"/>
      <c r="H82" s="361"/>
    </row>
    <row r="83" spans="1:8" ht="15" customHeight="1" x14ac:dyDescent="0.25">
      <c r="A83" s="435" t="s">
        <v>1064</v>
      </c>
      <c r="B83" s="361"/>
      <c r="C83" s="361"/>
      <c r="D83" s="361"/>
      <c r="E83" s="361"/>
      <c r="F83" s="361"/>
      <c r="G83" s="361"/>
      <c r="H83" s="361"/>
    </row>
    <row r="84" spans="1:8" ht="15" customHeight="1" x14ac:dyDescent="0.25">
      <c r="A84" s="435" t="s">
        <v>1065</v>
      </c>
      <c r="B84" s="361"/>
      <c r="C84" s="361"/>
      <c r="D84" s="361"/>
      <c r="E84" s="361"/>
      <c r="F84" s="361"/>
      <c r="G84" s="361"/>
      <c r="H84" s="361"/>
    </row>
    <row r="86" spans="1:8" ht="15" customHeight="1" x14ac:dyDescent="0.25">
      <c r="A86" s="406" t="s">
        <v>1313</v>
      </c>
      <c r="B86" s="361"/>
      <c r="C86" s="361"/>
      <c r="D86" s="361"/>
      <c r="E86" s="361"/>
      <c r="F86" s="361"/>
      <c r="G86" s="361"/>
      <c r="H86" s="361"/>
    </row>
    <row r="87" spans="1:8" ht="15" customHeight="1" x14ac:dyDescent="0.25">
      <c r="A87" s="405" t="s">
        <v>81</v>
      </c>
      <c r="B87" s="361"/>
      <c r="C87" s="361"/>
      <c r="D87" s="361"/>
      <c r="E87" s="361"/>
      <c r="F87" s="361"/>
      <c r="G87" s="361"/>
      <c r="H87" s="361"/>
    </row>
  </sheetData>
  <mergeCells count="20">
    <mergeCell ref="A1:H1"/>
    <mergeCell ref="A79:H79"/>
    <mergeCell ref="A70:H70"/>
    <mergeCell ref="A78:H78"/>
    <mergeCell ref="A87:H87"/>
    <mergeCell ref="A80:H80"/>
    <mergeCell ref="A84:H84"/>
    <mergeCell ref="A86:H86"/>
    <mergeCell ref="A2:H2"/>
    <mergeCell ref="A42:H42"/>
    <mergeCell ref="A76:H76"/>
    <mergeCell ref="A5:H5"/>
    <mergeCell ref="A4:H4"/>
    <mergeCell ref="A81:H81"/>
    <mergeCell ref="A68:H68"/>
    <mergeCell ref="A44:H44"/>
    <mergeCell ref="A77:H77"/>
    <mergeCell ref="A83:H83"/>
    <mergeCell ref="A82:H82"/>
    <mergeCell ref="A45:H45"/>
  </mergeCells>
  <dataValidations count="4">
    <dataValidation type="list" allowBlank="1" sqref="B9" xr:uid="{00000000-0002-0000-0E00-000000000000}">
      <formula1>"LLC (Partnership),LLC (S-Corp),S-Corporation,C-Corporation,Sole Proprietorship"</formula1>
      <formula2>0</formula2>
    </dataValidation>
    <dataValidation type="list" allowBlank="1" sqref="B16:B20" xr:uid="{00000000-0002-0000-0E00-000001000000}">
      <formula1>"Spouse,Child (adult),Child (minor),Parent,Sibling,In-law,Trust,Other"</formula1>
      <formula2>0</formula2>
    </dataValidation>
    <dataValidation type="list" allowBlank="1" sqref="B48:B53" xr:uid="{00000000-0002-0000-0E00-000002000000}">
      <formula1>"Parent,In-law,Sibling,Spouse,Adult child,Family friend,Industry mentor,Other"</formula1>
      <formula2>0</formula2>
    </dataValidation>
    <dataValidation type="list" allowBlank="1" sqref="F59:F66" xr:uid="{00000000-0002-0000-0E00-000003000000}">
      <formula1>"✓ Yes,☐ No"</formula1>
      <formula2>0</formula2>
    </dataValidation>
  </dataValidations>
  <pageMargins left="0.5" right="0.5" top="0.75" bottom="0.75" header="0.3" footer="0.3"/>
  <pageSetup fitToHeight="0" orientation="landscape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60"/>
  <sheetViews>
    <sheetView zoomScaleNormal="100" workbookViewId="0">
      <pane ySplit="3" topLeftCell="A4" activePane="bottomLeft" state="frozen"/>
      <selection pane="bottomLeft" activeCell="E18" sqref="E18"/>
    </sheetView>
  </sheetViews>
  <sheetFormatPr defaultColWidth="8.7109375" defaultRowHeight="15" x14ac:dyDescent="0.25"/>
  <cols>
    <col min="1" max="1" width="15" customWidth="1"/>
    <col min="2" max="2" width="22.85546875" customWidth="1"/>
    <col min="3" max="8" width="18" customWidth="1"/>
    <col min="9" max="9" width="25" customWidth="1"/>
  </cols>
  <sheetData>
    <row r="1" spans="1:9" ht="18" customHeight="1" x14ac:dyDescent="0.3">
      <c r="A1" s="462" t="s">
        <v>0</v>
      </c>
      <c r="B1" s="361"/>
      <c r="C1" s="361"/>
      <c r="D1" s="361"/>
      <c r="E1" s="361"/>
      <c r="F1" s="361"/>
      <c r="G1" s="361"/>
      <c r="H1" s="361"/>
      <c r="I1" s="361"/>
    </row>
    <row r="2" spans="1:9" ht="15" customHeight="1" x14ac:dyDescent="0.25">
      <c r="A2" s="464" t="s">
        <v>1</v>
      </c>
      <c r="B2" s="361"/>
      <c r="C2" s="361"/>
      <c r="D2" s="361"/>
      <c r="E2" s="361"/>
      <c r="F2" s="361"/>
      <c r="G2" s="361"/>
      <c r="H2" s="361"/>
      <c r="I2" s="361"/>
    </row>
    <row r="3" spans="1:9" ht="15" customHeight="1" x14ac:dyDescent="0.25">
      <c r="A3" s="33" t="s">
        <v>2</v>
      </c>
    </row>
    <row r="4" spans="1:9" ht="15" customHeight="1" x14ac:dyDescent="0.25">
      <c r="A4" s="461" t="s">
        <v>3</v>
      </c>
      <c r="B4" s="361"/>
      <c r="C4" s="361"/>
      <c r="D4" s="361"/>
      <c r="E4" s="361"/>
    </row>
    <row r="5" spans="1:9" ht="15" customHeight="1" x14ac:dyDescent="0.25">
      <c r="A5" s="179" t="s">
        <v>4</v>
      </c>
      <c r="B5" s="179" t="s">
        <v>5</v>
      </c>
      <c r="C5" s="180" t="s">
        <v>6</v>
      </c>
      <c r="D5" s="179" t="s">
        <v>7</v>
      </c>
      <c r="E5" s="181" t="s">
        <v>8</v>
      </c>
    </row>
    <row r="6" spans="1:9" ht="15" customHeight="1" x14ac:dyDescent="0.25">
      <c r="A6" s="73" t="s">
        <v>9</v>
      </c>
      <c r="B6" s="73" t="s">
        <v>10</v>
      </c>
      <c r="C6" s="73" t="s">
        <v>11</v>
      </c>
      <c r="D6" s="182" t="s">
        <v>12</v>
      </c>
      <c r="E6" s="73" t="s">
        <v>13</v>
      </c>
    </row>
    <row r="7" spans="1:9" ht="15" customHeight="1" x14ac:dyDescent="0.25">
      <c r="A7" s="73" t="s">
        <v>14</v>
      </c>
      <c r="B7" s="73" t="s">
        <v>15</v>
      </c>
      <c r="C7" s="73" t="s">
        <v>16</v>
      </c>
      <c r="D7" s="183" t="s">
        <v>17</v>
      </c>
      <c r="E7" s="73" t="s">
        <v>18</v>
      </c>
    </row>
    <row r="8" spans="1:9" ht="15" customHeight="1" x14ac:dyDescent="0.25">
      <c r="A8" s="73" t="s">
        <v>19</v>
      </c>
      <c r="B8" s="73" t="s">
        <v>20</v>
      </c>
      <c r="C8" s="73" t="s">
        <v>21</v>
      </c>
      <c r="D8" s="183" t="s">
        <v>21</v>
      </c>
      <c r="E8" s="73" t="s">
        <v>22</v>
      </c>
    </row>
    <row r="9" spans="1:9" ht="15" customHeight="1" x14ac:dyDescent="0.25">
      <c r="A9" s="73" t="s">
        <v>23</v>
      </c>
      <c r="B9" s="73" t="s">
        <v>24</v>
      </c>
      <c r="C9" s="73" t="s">
        <v>25</v>
      </c>
      <c r="D9" s="183" t="s">
        <v>25</v>
      </c>
      <c r="E9" s="73" t="s">
        <v>26</v>
      </c>
    </row>
    <row r="10" spans="1:9" ht="15" customHeight="1" x14ac:dyDescent="0.25">
      <c r="A10" s="73" t="s">
        <v>27</v>
      </c>
      <c r="B10" s="73" t="s">
        <v>28</v>
      </c>
      <c r="C10" s="73" t="s">
        <v>29</v>
      </c>
      <c r="D10" s="183" t="s">
        <v>29</v>
      </c>
      <c r="E10" s="73" t="s">
        <v>26</v>
      </c>
    </row>
    <row r="11" spans="1:9" ht="15" customHeight="1" x14ac:dyDescent="0.25">
      <c r="A11" s="73" t="s">
        <v>30</v>
      </c>
      <c r="B11" s="73" t="s">
        <v>31</v>
      </c>
      <c r="C11" s="73" t="s">
        <v>31</v>
      </c>
      <c r="D11" s="184" t="s">
        <v>31</v>
      </c>
      <c r="E11" s="73" t="s">
        <v>32</v>
      </c>
    </row>
    <row r="12" spans="1:9" ht="15" customHeight="1" x14ac:dyDescent="0.25">
      <c r="A12" s="73" t="s">
        <v>33</v>
      </c>
      <c r="B12" s="73" t="s">
        <v>34</v>
      </c>
      <c r="C12" s="73" t="s">
        <v>35</v>
      </c>
      <c r="D12" s="184" t="s">
        <v>35</v>
      </c>
      <c r="E12" s="73" t="s">
        <v>36</v>
      </c>
    </row>
    <row r="14" spans="1:9" ht="15" customHeight="1" x14ac:dyDescent="0.25">
      <c r="A14" s="461" t="s">
        <v>37</v>
      </c>
      <c r="B14" s="361"/>
      <c r="C14" s="361"/>
      <c r="D14" s="361"/>
      <c r="E14" s="361"/>
      <c r="F14" s="361"/>
      <c r="G14" s="361"/>
      <c r="H14" s="361"/>
      <c r="I14" s="361"/>
    </row>
    <row r="15" spans="1:9" ht="15" customHeight="1" x14ac:dyDescent="0.25">
      <c r="A15" s="185" t="s">
        <v>38</v>
      </c>
      <c r="B15" s="185" t="s">
        <v>4</v>
      </c>
      <c r="C15" s="185" t="s">
        <v>39</v>
      </c>
      <c r="D15" s="185"/>
      <c r="E15" s="185" t="s">
        <v>40</v>
      </c>
      <c r="F15" s="185" t="s">
        <v>41</v>
      </c>
      <c r="G15" s="185" t="s">
        <v>42</v>
      </c>
      <c r="H15" s="185" t="s">
        <v>43</v>
      </c>
      <c r="I15" s="185" t="s">
        <v>44</v>
      </c>
    </row>
    <row r="16" spans="1:9" ht="15" customHeight="1" x14ac:dyDescent="0.25">
      <c r="A16" s="68"/>
      <c r="B16" s="68" t="s">
        <v>45</v>
      </c>
      <c r="C16" s="186"/>
      <c r="D16" s="186"/>
      <c r="E16" s="69">
        <f>SUMIF($B$16:$B$27,B16,$C$16:$C$27)</f>
        <v>0</v>
      </c>
      <c r="F16" s="186" t="s">
        <v>10</v>
      </c>
      <c r="G16" s="69">
        <f>IF(F16="","",F16-E16)</f>
        <v>23500</v>
      </c>
      <c r="H16" s="68" t="s">
        <v>46</v>
      </c>
      <c r="I16" s="68" t="s">
        <v>1337</v>
      </c>
    </row>
    <row r="17" spans="1:9" ht="15" customHeight="1" x14ac:dyDescent="0.25">
      <c r="A17" s="68"/>
      <c r="B17" s="68" t="s">
        <v>47</v>
      </c>
      <c r="C17" s="69"/>
      <c r="D17" s="186"/>
      <c r="E17" s="69">
        <f t="shared" ref="E17:E26" si="0">SUMIF($B$16:$B$27,B17,$C$16:$C$27)</f>
        <v>0</v>
      </c>
      <c r="F17" s="186"/>
      <c r="G17" s="69" t="str">
        <f t="shared" ref="G17:G26" si="1">IF(F17="","",F17-E17)</f>
        <v/>
      </c>
      <c r="H17" s="68" t="s">
        <v>46</v>
      </c>
      <c r="I17" s="68"/>
    </row>
    <row r="18" spans="1:9" ht="15" customHeight="1" x14ac:dyDescent="0.25">
      <c r="A18" s="68"/>
      <c r="B18" s="68" t="s">
        <v>48</v>
      </c>
      <c r="C18" s="69"/>
      <c r="D18" s="186"/>
      <c r="E18" s="69">
        <f t="shared" si="0"/>
        <v>0</v>
      </c>
      <c r="F18" s="186"/>
      <c r="G18" s="69" t="str">
        <f t="shared" si="1"/>
        <v/>
      </c>
      <c r="H18" s="68" t="s">
        <v>46</v>
      </c>
      <c r="I18" s="68" t="s">
        <v>49</v>
      </c>
    </row>
    <row r="19" spans="1:9" ht="15" customHeight="1" x14ac:dyDescent="0.25">
      <c r="A19" s="68"/>
      <c r="B19" s="68" t="s">
        <v>50</v>
      </c>
      <c r="C19" s="69"/>
      <c r="D19" s="186"/>
      <c r="E19" s="69">
        <f t="shared" si="0"/>
        <v>0</v>
      </c>
      <c r="F19" s="186" t="s">
        <v>10</v>
      </c>
      <c r="G19" s="69">
        <f t="shared" si="1"/>
        <v>23500</v>
      </c>
      <c r="H19" s="68" t="s">
        <v>51</v>
      </c>
      <c r="I19" s="68" t="s">
        <v>1338</v>
      </c>
    </row>
    <row r="20" spans="1:9" ht="15" customHeight="1" x14ac:dyDescent="0.25">
      <c r="A20" s="68"/>
      <c r="B20" s="68" t="s">
        <v>52</v>
      </c>
      <c r="C20" s="69"/>
      <c r="D20" s="186"/>
      <c r="E20" s="69">
        <f t="shared" si="0"/>
        <v>0</v>
      </c>
      <c r="F20" s="186">
        <f>70000-E16-E17-E18-E19</f>
        <v>70000</v>
      </c>
      <c r="G20" s="69">
        <f t="shared" si="1"/>
        <v>70000</v>
      </c>
      <c r="H20" s="68" t="s">
        <v>51</v>
      </c>
      <c r="I20" s="68" t="s">
        <v>53</v>
      </c>
    </row>
    <row r="21" spans="1:9" ht="15" customHeight="1" x14ac:dyDescent="0.25">
      <c r="A21" s="68"/>
      <c r="B21" s="68" t="s">
        <v>54</v>
      </c>
      <c r="C21" s="69"/>
      <c r="D21" s="186"/>
      <c r="E21" s="69">
        <f t="shared" si="0"/>
        <v>0</v>
      </c>
      <c r="F21" s="186" t="s">
        <v>20</v>
      </c>
      <c r="G21" s="69">
        <f t="shared" si="1"/>
        <v>7000</v>
      </c>
      <c r="H21" s="68" t="s">
        <v>46</v>
      </c>
      <c r="I21" s="68" t="s">
        <v>1339</v>
      </c>
    </row>
    <row r="22" spans="1:9" ht="15" customHeight="1" x14ac:dyDescent="0.25">
      <c r="A22" s="68"/>
      <c r="B22" s="68" t="s">
        <v>55</v>
      </c>
      <c r="C22" s="69"/>
      <c r="D22" s="186"/>
      <c r="E22" s="69">
        <f t="shared" si="0"/>
        <v>0</v>
      </c>
      <c r="F22" s="186" t="s">
        <v>20</v>
      </c>
      <c r="G22" s="69">
        <f t="shared" si="1"/>
        <v>7000</v>
      </c>
      <c r="H22" s="68" t="s">
        <v>51</v>
      </c>
      <c r="I22" s="68" t="s">
        <v>56</v>
      </c>
    </row>
    <row r="23" spans="1:9" ht="15" customHeight="1" x14ac:dyDescent="0.25">
      <c r="A23" s="68"/>
      <c r="B23" s="68" t="s">
        <v>57</v>
      </c>
      <c r="C23" s="69"/>
      <c r="D23" s="186"/>
      <c r="E23" s="69">
        <f t="shared" si="0"/>
        <v>0</v>
      </c>
      <c r="F23" s="186">
        <v>7000</v>
      </c>
      <c r="G23" s="69">
        <f t="shared" si="1"/>
        <v>7000</v>
      </c>
      <c r="H23" s="68" t="s">
        <v>51</v>
      </c>
      <c r="I23" s="68" t="s">
        <v>56</v>
      </c>
    </row>
    <row r="24" spans="1:9" ht="15" customHeight="1" x14ac:dyDescent="0.25">
      <c r="A24" s="68"/>
      <c r="B24" s="68" t="s">
        <v>58</v>
      </c>
      <c r="C24" s="69"/>
      <c r="D24" s="186"/>
      <c r="E24" s="69">
        <f t="shared" si="0"/>
        <v>0</v>
      </c>
      <c r="F24" s="186">
        <v>70000</v>
      </c>
      <c r="G24" s="69">
        <f t="shared" si="1"/>
        <v>70000</v>
      </c>
      <c r="H24" s="68" t="s">
        <v>46</v>
      </c>
      <c r="I24" s="68" t="s">
        <v>1340</v>
      </c>
    </row>
    <row r="25" spans="1:9" ht="15" customHeight="1" x14ac:dyDescent="0.25">
      <c r="A25" s="68"/>
      <c r="B25" s="68" t="s">
        <v>59</v>
      </c>
      <c r="C25" s="69"/>
      <c r="D25" s="186"/>
      <c r="E25" s="69">
        <f t="shared" si="0"/>
        <v>0</v>
      </c>
      <c r="F25" s="186">
        <f>'Health &amp; HSA'!B40</f>
        <v>4300</v>
      </c>
      <c r="G25" s="69">
        <f t="shared" si="1"/>
        <v>4300</v>
      </c>
      <c r="H25" s="68" t="s">
        <v>46</v>
      </c>
      <c r="I25" s="68" t="s">
        <v>60</v>
      </c>
    </row>
    <row r="26" spans="1:9" ht="15" customHeight="1" x14ac:dyDescent="0.25">
      <c r="A26" s="68"/>
      <c r="B26" s="68" t="s">
        <v>33</v>
      </c>
      <c r="C26" s="69"/>
      <c r="D26" s="186"/>
      <c r="E26" s="69">
        <f t="shared" si="0"/>
        <v>0</v>
      </c>
      <c r="F26" s="186"/>
      <c r="G26" s="69" t="str">
        <f t="shared" si="1"/>
        <v/>
      </c>
      <c r="H26" s="68" t="s">
        <v>46</v>
      </c>
      <c r="I26" s="68" t="s">
        <v>61</v>
      </c>
    </row>
    <row r="27" spans="1:9" ht="15" customHeight="1" x14ac:dyDescent="0.25">
      <c r="A27" s="68"/>
      <c r="B27" s="68"/>
      <c r="C27" s="69"/>
      <c r="D27" s="186"/>
      <c r="E27" s="69"/>
      <c r="F27" s="68"/>
      <c r="G27" s="68"/>
      <c r="H27" s="68"/>
      <c r="I27" s="68"/>
    </row>
    <row r="28" spans="1:9" ht="15" customHeight="1" x14ac:dyDescent="0.25">
      <c r="A28" s="68"/>
      <c r="B28" s="68"/>
      <c r="C28" s="186"/>
      <c r="D28" s="186"/>
      <c r="E28" s="68"/>
      <c r="F28" s="68"/>
      <c r="G28" s="68"/>
      <c r="H28" s="68"/>
      <c r="I28" s="68"/>
    </row>
    <row r="29" spans="1:9" ht="15" customHeight="1" x14ac:dyDescent="0.25">
      <c r="A29" s="68"/>
      <c r="B29" s="68"/>
      <c r="C29" s="186"/>
      <c r="D29" s="186"/>
      <c r="E29" s="68"/>
      <c r="F29" s="68"/>
      <c r="G29" s="68"/>
      <c r="H29" s="68"/>
      <c r="I29" s="68"/>
    </row>
    <row r="30" spans="1:9" ht="15" customHeight="1" x14ac:dyDescent="0.25">
      <c r="A30" s="68"/>
      <c r="B30" s="68"/>
      <c r="C30" s="186"/>
      <c r="D30" s="186"/>
      <c r="E30" s="68"/>
      <c r="F30" s="68"/>
      <c r="G30" s="68"/>
      <c r="H30" s="68"/>
      <c r="I30" s="68"/>
    </row>
    <row r="31" spans="1:9" ht="15" customHeight="1" x14ac:dyDescent="0.25">
      <c r="A31" s="68"/>
      <c r="B31" s="68"/>
      <c r="C31" s="186"/>
      <c r="D31" s="186"/>
      <c r="E31" s="68"/>
      <c r="F31" s="68"/>
      <c r="G31" s="68"/>
      <c r="H31" s="68"/>
      <c r="I31" s="68"/>
    </row>
    <row r="32" spans="1:9" ht="15" customHeight="1" x14ac:dyDescent="0.25">
      <c r="A32" s="68"/>
      <c r="B32" s="68"/>
      <c r="C32" s="186"/>
      <c r="D32" s="186"/>
      <c r="E32" s="68"/>
      <c r="F32" s="68"/>
      <c r="G32" s="68"/>
      <c r="H32" s="68"/>
      <c r="I32" s="68"/>
    </row>
    <row r="33" spans="1:9" ht="15" customHeight="1" x14ac:dyDescent="0.25">
      <c r="A33" s="68"/>
      <c r="B33" s="68"/>
      <c r="C33" s="186"/>
      <c r="D33" s="186"/>
      <c r="E33" s="68"/>
      <c r="F33" s="68"/>
      <c r="G33" s="68"/>
      <c r="H33" s="68"/>
      <c r="I33" s="68"/>
    </row>
    <row r="34" spans="1:9" ht="15" customHeight="1" x14ac:dyDescent="0.25">
      <c r="A34" s="68"/>
      <c r="B34" s="68"/>
      <c r="C34" s="186"/>
      <c r="D34" s="186"/>
      <c r="E34" s="68"/>
      <c r="F34" s="68"/>
      <c r="G34" s="68"/>
      <c r="H34" s="68"/>
      <c r="I34" s="68"/>
    </row>
    <row r="35" spans="1:9" ht="15" customHeight="1" x14ac:dyDescent="0.25">
      <c r="A35" s="68"/>
      <c r="B35" s="68"/>
      <c r="C35" s="186"/>
      <c r="D35" s="186"/>
      <c r="E35" s="68"/>
      <c r="F35" s="68"/>
      <c r="G35" s="68"/>
      <c r="H35" s="68"/>
      <c r="I35" s="68"/>
    </row>
    <row r="36" spans="1:9" ht="15" customHeight="1" x14ac:dyDescent="0.25">
      <c r="A36" s="68"/>
      <c r="B36" s="68"/>
      <c r="C36" s="186"/>
      <c r="D36" s="186"/>
      <c r="E36" s="68"/>
      <c r="F36" s="68"/>
      <c r="G36" s="68"/>
      <c r="H36" s="68"/>
      <c r="I36" s="68"/>
    </row>
    <row r="38" spans="1:9" ht="15" customHeight="1" x14ac:dyDescent="0.25">
      <c r="A38" s="461" t="s">
        <v>62</v>
      </c>
      <c r="B38" s="361"/>
      <c r="C38" s="361"/>
      <c r="D38" s="361"/>
      <c r="E38" s="361"/>
    </row>
    <row r="39" spans="1:9" ht="15" customHeight="1" x14ac:dyDescent="0.25">
      <c r="A39" s="73" t="s">
        <v>63</v>
      </c>
      <c r="B39" s="340">
        <f>SUMPRODUCT((H16:H26="Pre-Tax")*(C16:C26))</f>
        <v>0</v>
      </c>
      <c r="C39" s="187" t="s">
        <v>64</v>
      </c>
      <c r="D39" s="42"/>
    </row>
    <row r="40" spans="1:9" ht="15" customHeight="1" x14ac:dyDescent="0.25">
      <c r="A40" s="73" t="s">
        <v>65</v>
      </c>
      <c r="B40" s="340">
        <f>SUMPRODUCT((H16:H26="Post-Tax")*(C16:C26))</f>
        <v>0</v>
      </c>
      <c r="C40" s="187" t="s">
        <v>66</v>
      </c>
      <c r="D40" s="42"/>
    </row>
    <row r="41" spans="1:9" ht="15" customHeight="1" x14ac:dyDescent="0.25">
      <c r="A41" s="73" t="s">
        <v>67</v>
      </c>
      <c r="B41" s="340">
        <f>C25</f>
        <v>0</v>
      </c>
      <c r="C41" s="187" t="s">
        <v>68</v>
      </c>
      <c r="D41" s="42"/>
    </row>
    <row r="42" spans="1:9" ht="15" customHeight="1" x14ac:dyDescent="0.3">
      <c r="A42" s="188" t="s">
        <v>69</v>
      </c>
      <c r="B42" s="341">
        <f>SUM(C16:C26)</f>
        <v>0</v>
      </c>
      <c r="C42" s="187"/>
      <c r="D42" s="42"/>
    </row>
    <row r="45" spans="1:9" ht="15" customHeight="1" x14ac:dyDescent="0.25">
      <c r="A45" s="461" t="s">
        <v>70</v>
      </c>
      <c r="B45" s="361"/>
      <c r="C45" s="361"/>
      <c r="D45" s="361"/>
      <c r="E45" s="361"/>
    </row>
    <row r="46" spans="1:9" ht="15" customHeight="1" x14ac:dyDescent="0.25">
      <c r="A46" s="361" t="s">
        <v>71</v>
      </c>
      <c r="B46" s="361"/>
      <c r="C46" s="361"/>
      <c r="D46" s="361"/>
      <c r="E46" s="361"/>
    </row>
    <row r="47" spans="1:9" ht="15" customHeight="1" x14ac:dyDescent="0.25">
      <c r="A47" s="361" t="s">
        <v>72</v>
      </c>
      <c r="B47" s="361"/>
      <c r="C47" s="361"/>
      <c r="D47" s="361"/>
      <c r="E47" s="361"/>
    </row>
    <row r="48" spans="1:9" ht="15" customHeight="1" x14ac:dyDescent="0.25">
      <c r="A48" s="361" t="s">
        <v>73</v>
      </c>
      <c r="B48" s="361"/>
      <c r="C48" s="361"/>
      <c r="D48" s="361"/>
      <c r="E48" s="361"/>
    </row>
    <row r="49" spans="1:9" ht="15" customHeight="1" x14ac:dyDescent="0.25">
      <c r="A49" s="361" t="s">
        <v>74</v>
      </c>
      <c r="B49" s="361"/>
      <c r="C49" s="361"/>
      <c r="D49" s="361"/>
      <c r="E49" s="361"/>
    </row>
    <row r="50" spans="1:9" ht="15" customHeight="1" x14ac:dyDescent="0.25">
      <c r="A50" s="361" t="s">
        <v>75</v>
      </c>
      <c r="B50" s="361"/>
      <c r="C50" s="361"/>
      <c r="D50" s="361"/>
      <c r="E50" s="361"/>
    </row>
    <row r="51" spans="1:9" ht="15" customHeight="1" x14ac:dyDescent="0.25">
      <c r="A51" s="361" t="s">
        <v>76</v>
      </c>
      <c r="B51" s="361"/>
      <c r="C51" s="361"/>
      <c r="D51" s="361"/>
      <c r="E51" s="361"/>
    </row>
    <row r="52" spans="1:9" ht="15" customHeight="1" x14ac:dyDescent="0.25">
      <c r="A52" s="361" t="s">
        <v>77</v>
      </c>
      <c r="B52" s="361"/>
      <c r="C52" s="361"/>
      <c r="D52" s="361"/>
      <c r="E52" s="361"/>
    </row>
    <row r="55" spans="1:9" ht="15" customHeight="1" x14ac:dyDescent="0.25">
      <c r="A55" s="463" t="s">
        <v>78</v>
      </c>
      <c r="B55" s="361"/>
      <c r="C55" s="361"/>
      <c r="D55" s="361"/>
      <c r="E55" s="361"/>
    </row>
    <row r="56" spans="1:9" ht="15" customHeight="1" x14ac:dyDescent="0.25">
      <c r="A56" s="56" t="s">
        <v>79</v>
      </c>
    </row>
    <row r="57" spans="1:9" ht="15" customHeight="1" x14ac:dyDescent="0.25">
      <c r="A57" s="41" t="s">
        <v>80</v>
      </c>
    </row>
    <row r="59" spans="1:9" ht="15" customHeight="1" x14ac:dyDescent="0.25">
      <c r="A59" s="406" t="s">
        <v>1313</v>
      </c>
      <c r="B59" s="361"/>
      <c r="C59" s="361"/>
      <c r="D59" s="361"/>
      <c r="E59" s="361"/>
      <c r="F59" s="361"/>
      <c r="G59" s="361"/>
      <c r="H59" s="361"/>
      <c r="I59" s="361"/>
    </row>
    <row r="60" spans="1:9" ht="15" customHeight="1" x14ac:dyDescent="0.25">
      <c r="A60" s="405" t="s">
        <v>81</v>
      </c>
      <c r="B60" s="361"/>
      <c r="C60" s="361"/>
      <c r="D60" s="361"/>
      <c r="E60" s="361"/>
      <c r="F60" s="361"/>
      <c r="G60" s="361"/>
      <c r="H60" s="361"/>
      <c r="I60" s="361"/>
    </row>
  </sheetData>
  <mergeCells count="16">
    <mergeCell ref="A60:I60"/>
    <mergeCell ref="A14:I14"/>
    <mergeCell ref="A1:I1"/>
    <mergeCell ref="A49:E49"/>
    <mergeCell ref="A47:E47"/>
    <mergeCell ref="A45:E45"/>
    <mergeCell ref="A46:E46"/>
    <mergeCell ref="A51:E51"/>
    <mergeCell ref="A59:I59"/>
    <mergeCell ref="A55:E55"/>
    <mergeCell ref="A50:E50"/>
    <mergeCell ref="A4:E4"/>
    <mergeCell ref="A2:I2"/>
    <mergeCell ref="A48:E48"/>
    <mergeCell ref="A38:E38"/>
    <mergeCell ref="A52:E52"/>
  </mergeCells>
  <pageMargins left="0.5" right="0.5" top="0.75" bottom="0.75" header="0.3" footer="0.3"/>
  <pageSetup fitToHeight="0" orientation="landscape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8"/>
  <sheetViews>
    <sheetView zoomScaleNormal="100" workbookViewId="0">
      <pane ySplit="4" topLeftCell="A5" activePane="bottomLeft" state="frozen"/>
      <selection activeCell="E18" sqref="E18"/>
      <selection pane="bottomLeft" activeCell="C5" sqref="C5"/>
    </sheetView>
  </sheetViews>
  <sheetFormatPr defaultColWidth="8.5703125" defaultRowHeight="15" x14ac:dyDescent="0.25"/>
  <cols>
    <col min="1" max="1" width="53.28515625" customWidth="1"/>
    <col min="2" max="2" width="18.140625" customWidth="1"/>
    <col min="3" max="3" width="22.85546875" customWidth="1"/>
    <col min="4" max="4" width="38.140625" customWidth="1"/>
    <col min="5" max="5" width="29" customWidth="1"/>
    <col min="6" max="7" width="18.140625" customWidth="1"/>
  </cols>
  <sheetData>
    <row r="1" spans="1:7" ht="21" customHeight="1" x14ac:dyDescent="0.35">
      <c r="A1" s="189" t="s">
        <v>1066</v>
      </c>
      <c r="B1" s="32"/>
      <c r="C1" s="32"/>
      <c r="D1" s="32"/>
      <c r="E1" s="32"/>
      <c r="F1" s="32"/>
      <c r="G1" s="32"/>
    </row>
    <row r="2" spans="1:7" ht="15" customHeight="1" x14ac:dyDescent="0.25">
      <c r="A2" s="190" t="s">
        <v>1067</v>
      </c>
    </row>
    <row r="3" spans="1:7" ht="15" customHeight="1" x14ac:dyDescent="0.25">
      <c r="A3" s="33" t="s">
        <v>1068</v>
      </c>
    </row>
    <row r="5" spans="1:7" ht="15" customHeight="1" x14ac:dyDescent="0.25">
      <c r="A5" s="24" t="s">
        <v>1069</v>
      </c>
      <c r="E5" s="24" t="s">
        <v>1070</v>
      </c>
    </row>
    <row r="6" spans="1:7" ht="15" customHeight="1" x14ac:dyDescent="0.25">
      <c r="A6" s="191" t="s">
        <v>1071</v>
      </c>
      <c r="B6" s="192" t="s">
        <v>1072</v>
      </c>
      <c r="E6" s="193" t="s">
        <v>1073</v>
      </c>
      <c r="F6" s="194">
        <v>0</v>
      </c>
    </row>
    <row r="7" spans="1:7" ht="15" customHeight="1" x14ac:dyDescent="0.25">
      <c r="A7" s="191" t="s">
        <v>204</v>
      </c>
      <c r="B7" s="195">
        <v>2025</v>
      </c>
      <c r="E7" s="193" t="s">
        <v>1074</v>
      </c>
      <c r="F7" s="192" t="s">
        <v>1075</v>
      </c>
      <c r="G7" s="196" t="s">
        <v>1076</v>
      </c>
    </row>
    <row r="8" spans="1:7" ht="15" customHeight="1" x14ac:dyDescent="0.25">
      <c r="A8" s="191" t="s">
        <v>1077</v>
      </c>
      <c r="B8" s="192" t="s">
        <v>1078</v>
      </c>
      <c r="E8" s="191" t="s">
        <v>1079</v>
      </c>
      <c r="F8" s="197">
        <f>F6*1.1</f>
        <v>0</v>
      </c>
    </row>
    <row r="9" spans="1:7" x14ac:dyDescent="0.25">
      <c r="A9" s="274" t="s">
        <v>201</v>
      </c>
      <c r="B9" s="275" t="s">
        <v>1080</v>
      </c>
      <c r="D9" s="276" t="s">
        <v>1081</v>
      </c>
    </row>
    <row r="10" spans="1:7" ht="15.75" customHeight="1" x14ac:dyDescent="0.25">
      <c r="A10" s="198" t="s">
        <v>1082</v>
      </c>
      <c r="B10" s="32"/>
      <c r="C10" s="199" t="s">
        <v>39</v>
      </c>
      <c r="D10" s="200" t="s">
        <v>44</v>
      </c>
    </row>
    <row r="11" spans="1:7" ht="15" customHeight="1" x14ac:dyDescent="0.25">
      <c r="A11" s="191" t="s">
        <v>1083</v>
      </c>
      <c r="C11" s="201">
        <v>0</v>
      </c>
      <c r="D11" s="196" t="s">
        <v>1084</v>
      </c>
    </row>
    <row r="12" spans="1:7" ht="15" customHeight="1" x14ac:dyDescent="0.25">
      <c r="A12" s="202" t="s">
        <v>1085</v>
      </c>
      <c r="C12" s="201">
        <v>0</v>
      </c>
      <c r="D12" s="196" t="s">
        <v>1086</v>
      </c>
    </row>
    <row r="13" spans="1:7" ht="15" customHeight="1" x14ac:dyDescent="0.25">
      <c r="A13" s="191" t="s">
        <v>1087</v>
      </c>
      <c r="C13" s="201">
        <v>0</v>
      </c>
      <c r="D13" s="196" t="s">
        <v>1088</v>
      </c>
    </row>
    <row r="14" spans="1:7" ht="15" customHeight="1" x14ac:dyDescent="0.25">
      <c r="A14" s="203" t="s">
        <v>1089</v>
      </c>
      <c r="C14" s="201">
        <v>0</v>
      </c>
      <c r="D14" s="196" t="s">
        <v>1090</v>
      </c>
    </row>
    <row r="15" spans="1:7" ht="15" customHeight="1" x14ac:dyDescent="0.25">
      <c r="A15" s="193" t="s">
        <v>1091</v>
      </c>
      <c r="C15" s="201">
        <v>0</v>
      </c>
      <c r="D15" s="196" t="s">
        <v>1092</v>
      </c>
    </row>
    <row r="16" spans="1:7" ht="15" customHeight="1" x14ac:dyDescent="0.25">
      <c r="A16" s="193" t="s">
        <v>1093</v>
      </c>
      <c r="C16" s="201">
        <v>0</v>
      </c>
      <c r="D16" s="196" t="s">
        <v>1094</v>
      </c>
    </row>
    <row r="17" spans="1:4" ht="15" customHeight="1" x14ac:dyDescent="0.25">
      <c r="A17" s="203" t="s">
        <v>1095</v>
      </c>
      <c r="C17" s="201">
        <v>0</v>
      </c>
      <c r="D17" s="196" t="s">
        <v>1096</v>
      </c>
    </row>
    <row r="18" spans="1:4" ht="15" customHeight="1" x14ac:dyDescent="0.25">
      <c r="A18" s="193" t="s">
        <v>1097</v>
      </c>
      <c r="C18" s="201">
        <v>0</v>
      </c>
      <c r="D18" s="196" t="s">
        <v>1098</v>
      </c>
    </row>
    <row r="19" spans="1:4" ht="15" customHeight="1" x14ac:dyDescent="0.25">
      <c r="A19" s="193" t="s">
        <v>1099</v>
      </c>
      <c r="B19" t="s">
        <v>1100</v>
      </c>
      <c r="C19" s="201">
        <f>'Schedule E'!F51</f>
        <v>0</v>
      </c>
      <c r="D19" s="196" t="s">
        <v>1101</v>
      </c>
    </row>
    <row r="20" spans="1:4" ht="15" customHeight="1" x14ac:dyDescent="0.25">
      <c r="A20" s="193" t="s">
        <v>1102</v>
      </c>
      <c r="C20" s="201">
        <v>0</v>
      </c>
      <c r="D20" s="196" t="s">
        <v>1103</v>
      </c>
    </row>
    <row r="21" spans="1:4" ht="15" customHeight="1" x14ac:dyDescent="0.25">
      <c r="A21" s="204" t="s">
        <v>1104</v>
      </c>
      <c r="B21" s="205" t="s">
        <v>1100</v>
      </c>
      <c r="C21" s="206">
        <f>'Annual Summary'!B9</f>
        <v>0</v>
      </c>
      <c r="D21" s="207" t="s">
        <v>1105</v>
      </c>
    </row>
    <row r="22" spans="1:4" x14ac:dyDescent="0.25">
      <c r="C22" s="281"/>
    </row>
    <row r="23" spans="1:4" ht="15" customHeight="1" x14ac:dyDescent="0.25">
      <c r="A23" s="208" t="s">
        <v>1106</v>
      </c>
      <c r="C23" s="209">
        <f>C11+C13+C15+C16+C18+C19+C20</f>
        <v>0</v>
      </c>
      <c r="D23" s="196" t="s">
        <v>1107</v>
      </c>
    </row>
    <row r="25" spans="1:4" ht="15.75" customHeight="1" x14ac:dyDescent="0.25">
      <c r="A25" s="198" t="s">
        <v>1108</v>
      </c>
      <c r="B25" s="32"/>
      <c r="C25" s="199" t="s">
        <v>39</v>
      </c>
      <c r="D25" s="200" t="s">
        <v>775</v>
      </c>
    </row>
    <row r="26" spans="1:4" ht="15" customHeight="1" x14ac:dyDescent="0.25">
      <c r="A26" s="193" t="s">
        <v>1109</v>
      </c>
      <c r="C26" s="210">
        <f>IF(UPPER(B9)="S-CORP",0,C13*0.9235*0.153/2)</f>
        <v>0</v>
      </c>
      <c r="D26" s="196" t="s">
        <v>1110</v>
      </c>
    </row>
    <row r="27" spans="1:4" ht="15" customHeight="1" x14ac:dyDescent="0.25">
      <c r="A27" s="204" t="s">
        <v>1111</v>
      </c>
      <c r="B27" s="205" t="s">
        <v>1100</v>
      </c>
      <c r="C27" s="206">
        <f>'Annual Summary'!B24</f>
        <v>0</v>
      </c>
      <c r="D27" s="196" t="s">
        <v>1112</v>
      </c>
    </row>
    <row r="28" spans="1:4" ht="15" customHeight="1" x14ac:dyDescent="0.25">
      <c r="A28" s="204" t="s">
        <v>1113</v>
      </c>
      <c r="B28" s="205" t="s">
        <v>1100</v>
      </c>
      <c r="C28" s="206">
        <f>'Annual Summary'!B25</f>
        <v>0</v>
      </c>
      <c r="D28" s="196" t="s">
        <v>1112</v>
      </c>
    </row>
    <row r="29" spans="1:4" ht="15" customHeight="1" x14ac:dyDescent="0.25">
      <c r="A29" s="204" t="s">
        <v>1114</v>
      </c>
      <c r="B29" s="205" t="s">
        <v>1100</v>
      </c>
      <c r="C29" s="206">
        <f>'Annual Summary'!B26</f>
        <v>0</v>
      </c>
      <c r="D29" s="196" t="s">
        <v>1115</v>
      </c>
    </row>
    <row r="30" spans="1:4" ht="15" customHeight="1" x14ac:dyDescent="0.25">
      <c r="A30" s="204" t="s">
        <v>1116</v>
      </c>
      <c r="C30" s="201">
        <v>0</v>
      </c>
      <c r="D30" s="196" t="s">
        <v>1117</v>
      </c>
    </row>
    <row r="31" spans="1:4" ht="15" customHeight="1" x14ac:dyDescent="0.25">
      <c r="A31" s="204" t="s">
        <v>1118</v>
      </c>
      <c r="C31" s="201">
        <v>0</v>
      </c>
      <c r="D31" s="196" t="s">
        <v>1119</v>
      </c>
    </row>
    <row r="32" spans="1:4" ht="15" customHeight="1" x14ac:dyDescent="0.25">
      <c r="A32" s="204" t="s">
        <v>1120</v>
      </c>
      <c r="C32" s="201">
        <v>0</v>
      </c>
      <c r="D32" s="196" t="s">
        <v>1121</v>
      </c>
    </row>
    <row r="33" spans="1:7" ht="15" customHeight="1" x14ac:dyDescent="0.25">
      <c r="A33" s="208" t="s">
        <v>1122</v>
      </c>
      <c r="C33" s="211">
        <f>SUM(C26:C32)</f>
        <v>0</v>
      </c>
    </row>
    <row r="34" spans="1:7" x14ac:dyDescent="0.25">
      <c r="C34" s="281"/>
    </row>
    <row r="35" spans="1:7" ht="15.75" customHeight="1" x14ac:dyDescent="0.25">
      <c r="A35" s="212" t="s">
        <v>1123</v>
      </c>
      <c r="B35" s="29"/>
      <c r="C35" s="213">
        <f>C23-C33</f>
        <v>0</v>
      </c>
      <c r="D35" s="29"/>
      <c r="E35" s="29"/>
      <c r="F35" s="29"/>
      <c r="G35" s="29"/>
    </row>
    <row r="37" spans="1:7" ht="15.75" customHeight="1" x14ac:dyDescent="0.25">
      <c r="A37" s="198" t="s">
        <v>1124</v>
      </c>
      <c r="B37" s="32"/>
      <c r="C37" s="199" t="s">
        <v>39</v>
      </c>
      <c r="D37" s="200" t="s">
        <v>775</v>
      </c>
      <c r="F37" s="214" t="s">
        <v>1125</v>
      </c>
    </row>
    <row r="38" spans="1:7" ht="15" customHeight="1" x14ac:dyDescent="0.25">
      <c r="A38" s="193" t="s">
        <v>1126</v>
      </c>
      <c r="C38" s="342">
        <f>IF(B6="Single",15000,IF(B6="Married Filing Jointly",30000,IF(B6="Married Filing Separately",15000,IF(B6="Head of Household",22500,15000))))</f>
        <v>30000</v>
      </c>
      <c r="D38" s="196" t="s">
        <v>1127</v>
      </c>
      <c r="F38" s="193" t="s">
        <v>1128</v>
      </c>
      <c r="G38" s="215" t="s">
        <v>1075</v>
      </c>
    </row>
    <row r="40" spans="1:7" ht="15" customHeight="1" x14ac:dyDescent="0.25">
      <c r="A40" s="216" t="s">
        <v>1129</v>
      </c>
    </row>
    <row r="41" spans="1:7" ht="15" customHeight="1" x14ac:dyDescent="0.25">
      <c r="A41" s="193" t="s">
        <v>1130</v>
      </c>
      <c r="C41" s="201">
        <v>0</v>
      </c>
      <c r="D41" s="217" t="s">
        <v>1131</v>
      </c>
    </row>
    <row r="42" spans="1:7" ht="15" customHeight="1" x14ac:dyDescent="0.25">
      <c r="A42" s="193" t="s">
        <v>1132</v>
      </c>
      <c r="C42" s="201">
        <v>0</v>
      </c>
      <c r="D42" s="196" t="s">
        <v>1133</v>
      </c>
    </row>
    <row r="43" spans="1:7" ht="15" customHeight="1" x14ac:dyDescent="0.25">
      <c r="A43" s="193" t="s">
        <v>1134</v>
      </c>
      <c r="C43" s="201">
        <v>0</v>
      </c>
      <c r="D43" s="196" t="s">
        <v>1135</v>
      </c>
    </row>
    <row r="44" spans="1:7" ht="15" customHeight="1" x14ac:dyDescent="0.25">
      <c r="A44" s="193" t="s">
        <v>1136</v>
      </c>
      <c r="C44" s="210">
        <v>0</v>
      </c>
      <c r="D44" s="276" t="s">
        <v>1137</v>
      </c>
    </row>
    <row r="45" spans="1:7" ht="15" customHeight="1" x14ac:dyDescent="0.25">
      <c r="A45" s="193" t="s">
        <v>1138</v>
      </c>
      <c r="C45" s="201">
        <v>0</v>
      </c>
      <c r="D45" s="196" t="s">
        <v>1139</v>
      </c>
    </row>
    <row r="46" spans="1:7" ht="15" customHeight="1" x14ac:dyDescent="0.25">
      <c r="A46" s="191" t="s">
        <v>1140</v>
      </c>
      <c r="C46" s="197">
        <f>MIN(C41,40000)+C42+C43+MAX(0,C44-C35*0.075)+C45</f>
        <v>0</v>
      </c>
      <c r="D46" s="217" t="s">
        <v>1318</v>
      </c>
    </row>
    <row r="47" spans="1:7" x14ac:dyDescent="0.25">
      <c r="C47" s="281"/>
    </row>
    <row r="48" spans="1:7" ht="15" customHeight="1" x14ac:dyDescent="0.25">
      <c r="A48" s="208" t="s">
        <v>1141</v>
      </c>
      <c r="C48" s="211">
        <f>IF(G38="Yes",C38,MAX(C38,C46))</f>
        <v>30000</v>
      </c>
      <c r="D48" s="31" t="str">
        <f>IF(G38="Yes","Using Standard Deduction",IF(C46&gt;C38,"Using Itemized (greater)","Using Standard (greater)"))</f>
        <v>Using Standard Deduction</v>
      </c>
    </row>
    <row r="50" spans="1:7" ht="15.75" customHeight="1" x14ac:dyDescent="0.25">
      <c r="A50" s="198" t="s">
        <v>1142</v>
      </c>
      <c r="B50" s="32"/>
      <c r="C50" s="199" t="s">
        <v>39</v>
      </c>
      <c r="D50" s="200" t="s">
        <v>1143</v>
      </c>
      <c r="E50" s="32"/>
      <c r="F50" s="32"/>
      <c r="G50" s="32"/>
    </row>
    <row r="51" spans="1:7" ht="15" customHeight="1" x14ac:dyDescent="0.25">
      <c r="A51" s="204" t="s">
        <v>1144</v>
      </c>
      <c r="B51" s="205" t="s">
        <v>1100</v>
      </c>
      <c r="C51" s="206">
        <f>'Annual Summary'!B8</f>
        <v>0</v>
      </c>
      <c r="D51" s="196" t="s">
        <v>106</v>
      </c>
    </row>
    <row r="52" spans="1:7" ht="15" customHeight="1" x14ac:dyDescent="0.25">
      <c r="A52" s="204" t="s">
        <v>1145</v>
      </c>
      <c r="B52" s="205" t="s">
        <v>1100</v>
      </c>
      <c r="C52" s="206">
        <f>'Annual Summary'!B15</f>
        <v>0</v>
      </c>
      <c r="D52" s="196" t="s">
        <v>130</v>
      </c>
    </row>
    <row r="53" spans="1:7" ht="15" customHeight="1" x14ac:dyDescent="0.25">
      <c r="A53" s="204" t="s">
        <v>1146</v>
      </c>
      <c r="B53" s="205" t="s">
        <v>1100</v>
      </c>
      <c r="C53" s="206">
        <f>'Annual Summary'!B16</f>
        <v>1500</v>
      </c>
      <c r="D53" s="196" t="s">
        <v>140</v>
      </c>
    </row>
    <row r="54" spans="1:7" ht="15" customHeight="1" x14ac:dyDescent="0.25">
      <c r="A54" s="204" t="s">
        <v>1147</v>
      </c>
      <c r="B54" s="205" t="s">
        <v>1100</v>
      </c>
      <c r="C54" s="206">
        <f>'Annual Summary'!B17</f>
        <v>0</v>
      </c>
      <c r="D54" s="196" t="s">
        <v>145</v>
      </c>
    </row>
    <row r="55" spans="1:7" ht="15" customHeight="1" x14ac:dyDescent="0.25">
      <c r="A55" s="204" t="s">
        <v>1148</v>
      </c>
      <c r="B55" s="205" t="s">
        <v>1100</v>
      </c>
      <c r="C55" s="206">
        <f>'Annual Summary'!B18</f>
        <v>0</v>
      </c>
      <c r="D55" s="196" t="s">
        <v>150</v>
      </c>
    </row>
    <row r="56" spans="1:7" ht="15" customHeight="1" x14ac:dyDescent="0.25">
      <c r="A56" s="204" t="s">
        <v>1149</v>
      </c>
      <c r="B56" s="205" t="s">
        <v>1100</v>
      </c>
      <c r="C56" s="206">
        <f>'Annual Summary'!B19+'Annual Summary'!B20</f>
        <v>0</v>
      </c>
      <c r="D56" s="196" t="s">
        <v>155</v>
      </c>
    </row>
    <row r="57" spans="1:7" ht="15" customHeight="1" x14ac:dyDescent="0.25">
      <c r="A57" s="204" t="s">
        <v>1150</v>
      </c>
      <c r="B57" s="205" t="s">
        <v>1100</v>
      </c>
      <c r="C57" s="206">
        <f>'Annual Summary'!B10</f>
        <v>0</v>
      </c>
      <c r="D57" s="196" t="s">
        <v>118</v>
      </c>
    </row>
    <row r="58" spans="1:7" ht="15" customHeight="1" x14ac:dyDescent="0.25">
      <c r="A58" s="208" t="s">
        <v>1151</v>
      </c>
      <c r="C58" s="211">
        <f>SUM(C51:C57)</f>
        <v>1500</v>
      </c>
      <c r="D58" s="196" t="s">
        <v>1152</v>
      </c>
    </row>
    <row r="60" spans="1:7" ht="15" customHeight="1" x14ac:dyDescent="0.25">
      <c r="A60" s="208" t="s">
        <v>1153</v>
      </c>
    </row>
    <row r="61" spans="1:7" ht="15" customHeight="1" x14ac:dyDescent="0.25">
      <c r="A61" s="193" t="s">
        <v>1154</v>
      </c>
      <c r="C61" s="342">
        <f>MAX(0,MIN((C13-C58)*0.2,(C35-C48)*0.2))</f>
        <v>0</v>
      </c>
      <c r="D61" s="196" t="s">
        <v>1155</v>
      </c>
    </row>
    <row r="63" spans="1:7" ht="15.75" customHeight="1" x14ac:dyDescent="0.25">
      <c r="A63" s="212" t="s">
        <v>1156</v>
      </c>
      <c r="B63" s="29"/>
      <c r="C63" s="343">
        <f>MAX(0,C35-C48-C58-C61)</f>
        <v>0</v>
      </c>
      <c r="D63" s="29"/>
      <c r="E63" s="29"/>
      <c r="F63" s="29"/>
      <c r="G63" s="29"/>
    </row>
    <row r="65" spans="1:7" ht="15.75" customHeight="1" x14ac:dyDescent="0.25">
      <c r="A65" s="198" t="s">
        <v>1157</v>
      </c>
      <c r="B65" s="32"/>
      <c r="C65" s="199" t="s">
        <v>1158</v>
      </c>
      <c r="D65" s="277" t="s">
        <v>1159</v>
      </c>
      <c r="E65" s="200" t="s">
        <v>1160</v>
      </c>
      <c r="F65" s="199" t="s">
        <v>1161</v>
      </c>
      <c r="G65" s="199" t="s">
        <v>1162</v>
      </c>
    </row>
    <row r="66" spans="1:7" ht="15" customHeight="1" x14ac:dyDescent="0.25">
      <c r="A66" s="193" t="s">
        <v>1163</v>
      </c>
      <c r="C66" s="210">
        <f>MAX(0,MIN(C63,IF(B6="Single",11925,IF(B6="Head of Household",17000,23850)))-IF(B6="Single",0,IF(B6="Head of Household",0,0)))*0.1</f>
        <v>0</v>
      </c>
      <c r="E66" s="218">
        <v>0.1</v>
      </c>
      <c r="F66" s="218">
        <v>0.1</v>
      </c>
      <c r="G66" s="219">
        <v>23850</v>
      </c>
    </row>
    <row r="67" spans="1:7" ht="15" customHeight="1" x14ac:dyDescent="0.25">
      <c r="A67" s="193" t="s">
        <v>1164</v>
      </c>
      <c r="C67" s="210">
        <f>MAX(0,MIN(C63,IF(B6="Single",48475,IF(B6="Head of Household",64850,96950)))-IF(B6="Single",11925,IF(B6="Head of Household",17000,23850)))*0.12</f>
        <v>0</v>
      </c>
      <c r="E67" s="218">
        <v>0.12</v>
      </c>
      <c r="F67" s="218">
        <v>0.12</v>
      </c>
      <c r="G67" s="219">
        <v>96950</v>
      </c>
    </row>
    <row r="68" spans="1:7" ht="15" customHeight="1" x14ac:dyDescent="0.25">
      <c r="A68" s="193" t="s">
        <v>1165</v>
      </c>
      <c r="C68" s="210">
        <f>MAX(0,MIN(C63,IF(B6="Single",103350,IF(B6="Head of Household",106525,206700)))-IF(B6="Single",48475,IF(B6="Head of Household",64850,96950)))*0.22</f>
        <v>0</v>
      </c>
      <c r="E68" s="218">
        <v>0.22</v>
      </c>
      <c r="F68" s="218">
        <v>0.22</v>
      </c>
      <c r="G68" s="219">
        <v>206700</v>
      </c>
    </row>
    <row r="69" spans="1:7" ht="15" customHeight="1" x14ac:dyDescent="0.25">
      <c r="A69" s="193" t="s">
        <v>1166</v>
      </c>
      <c r="C69" s="210">
        <f>MAX(0,MIN(C63,IF(B6="Single",197300,IF(B6="Head of Household",197300,394600)))-IF(B6="Single",103350,IF(B6="Head of Household",106525,206700)))*0.24</f>
        <v>0</v>
      </c>
      <c r="E69" s="218">
        <v>0.24</v>
      </c>
      <c r="F69" s="218">
        <v>0.24</v>
      </c>
      <c r="G69" s="219">
        <v>394600</v>
      </c>
    </row>
    <row r="70" spans="1:7" ht="15" customHeight="1" x14ac:dyDescent="0.25">
      <c r="A70" s="193" t="s">
        <v>1167</v>
      </c>
      <c r="C70" s="210">
        <f>MAX(0,MIN(C63,IF(B6="Single",250525,IF(B6="Head of Household",250500,501050)))-IF(B6="Single",197300,IF(B6="Head of Household",197300,394600)))*0.32</f>
        <v>0</v>
      </c>
      <c r="E70" s="218">
        <v>0.32</v>
      </c>
      <c r="F70" s="218">
        <v>0.32</v>
      </c>
      <c r="G70" s="219">
        <v>501050</v>
      </c>
    </row>
    <row r="71" spans="1:7" ht="15" customHeight="1" x14ac:dyDescent="0.25">
      <c r="A71" s="193" t="s">
        <v>1168</v>
      </c>
      <c r="C71" s="210">
        <f>MAX(0,MIN(C63,IF(B6="Single",626350,IF(B6="Head of Household",626350,751600)))-IF(B6="Single",250525,IF(B6="Head of Household",250500,501050)))*0.35</f>
        <v>0</v>
      </c>
      <c r="E71" s="218">
        <v>0.35</v>
      </c>
      <c r="F71" s="218">
        <v>0.35</v>
      </c>
      <c r="G71" s="219">
        <v>751600</v>
      </c>
    </row>
    <row r="72" spans="1:7" ht="15" customHeight="1" x14ac:dyDescent="0.25">
      <c r="A72" s="193" t="s">
        <v>1169</v>
      </c>
      <c r="C72" s="210">
        <f>MAX(0,C63-IF(B6="Single",626350,IF(B6="Head of Household",626350,751600)))*0.37</f>
        <v>0</v>
      </c>
      <c r="E72" s="218">
        <v>0.37</v>
      </c>
      <c r="F72" s="218">
        <v>0.37</v>
      </c>
      <c r="G72" s="220" t="s">
        <v>1170</v>
      </c>
    </row>
    <row r="73" spans="1:7" ht="15" customHeight="1" x14ac:dyDescent="0.25">
      <c r="A73" s="208" t="s">
        <v>1171</v>
      </c>
      <c r="C73" s="211">
        <f>SUM(C66:C72)</f>
        <v>0</v>
      </c>
    </row>
    <row r="75" spans="1:7" ht="15" customHeight="1" x14ac:dyDescent="0.25">
      <c r="A75" s="208" t="s">
        <v>1172</v>
      </c>
      <c r="C75" s="210">
        <f>IF(UPPER(B9)="S-CORP",IF(C14&gt;0,MIN(C14,176100)*0.1245+C14*0.029,0),IF(C13&gt;0,C13*0.9235*0.153,0))</f>
        <v>0</v>
      </c>
      <c r="D75" s="276" t="s">
        <v>1173</v>
      </c>
    </row>
    <row r="76" spans="1:7" ht="15" customHeight="1" x14ac:dyDescent="0.25">
      <c r="A76" s="193" t="s">
        <v>1174</v>
      </c>
      <c r="C76" s="210">
        <f>IF(C11+C14+C13&gt;IF(B6="Single",200000,IF(B6="Married Filing Separately",125000,250000)),MAX(0,(C11+C14+C13-IF(B6="Single",200000,IF(B6="Married Filing Separately",125000,250000)))*0.009),0)</f>
        <v>0</v>
      </c>
      <c r="D76" s="196" t="s">
        <v>1175</v>
      </c>
    </row>
    <row r="77" spans="1:7" ht="15" customHeight="1" x14ac:dyDescent="0.25">
      <c r="A77" s="193" t="s">
        <v>1176</v>
      </c>
      <c r="C77" s="210">
        <f>IF(C35&gt;IF(B6="Single",200000,IF(B6="Married Filing Separately",125000,250000)),MIN(C15+C16+C18+C19,C35-IF(B6="Single",200000,IF(B6="Married Filing Separately",125000,250000)))*0.038,0)</f>
        <v>0</v>
      </c>
      <c r="D77" s="196" t="s">
        <v>1177</v>
      </c>
    </row>
    <row r="79" spans="1:7" ht="15" customHeight="1" x14ac:dyDescent="0.25">
      <c r="A79" s="208" t="s">
        <v>1178</v>
      </c>
    </row>
    <row r="80" spans="1:7" ht="15" customHeight="1" x14ac:dyDescent="0.25">
      <c r="A80" s="193" t="s">
        <v>1179</v>
      </c>
      <c r="C80" s="221">
        <v>4.9500000000000002E-2</v>
      </c>
      <c r="D80" s="196" t="s">
        <v>1180</v>
      </c>
    </row>
    <row r="81" spans="1:7" ht="15" customHeight="1" x14ac:dyDescent="0.25">
      <c r="A81" s="191" t="s">
        <v>1181</v>
      </c>
      <c r="C81" s="344">
        <f>C63*C80</f>
        <v>0</v>
      </c>
      <c r="D81" s="196" t="s">
        <v>1182</v>
      </c>
    </row>
    <row r="83" spans="1:7" ht="17.25" customHeight="1" x14ac:dyDescent="0.3">
      <c r="A83" s="222" t="s">
        <v>1183</v>
      </c>
      <c r="B83" s="29"/>
      <c r="C83" s="345">
        <f>C73+C75+C76+C77+C81</f>
        <v>0</v>
      </c>
      <c r="D83" s="29"/>
      <c r="E83" s="29"/>
      <c r="F83" s="29"/>
      <c r="G83" s="29"/>
    </row>
    <row r="85" spans="1:7" ht="15.75" customHeight="1" x14ac:dyDescent="0.25">
      <c r="A85" s="198" t="s">
        <v>1184</v>
      </c>
      <c r="B85" s="32"/>
      <c r="C85" s="199" t="s">
        <v>39</v>
      </c>
      <c r="D85" s="200" t="s">
        <v>44</v>
      </c>
      <c r="E85" s="32"/>
      <c r="F85" s="32"/>
      <c r="G85" s="32"/>
    </row>
    <row r="86" spans="1:7" ht="15" customHeight="1" x14ac:dyDescent="0.25">
      <c r="A86" s="193" t="s">
        <v>1185</v>
      </c>
      <c r="C86" s="210">
        <f>C12</f>
        <v>0</v>
      </c>
      <c r="D86" s="196" t="s">
        <v>1186</v>
      </c>
    </row>
    <row r="87" spans="1:7" ht="15" customHeight="1" x14ac:dyDescent="0.25">
      <c r="A87" s="193" t="s">
        <v>1187</v>
      </c>
      <c r="C87" s="201">
        <v>0</v>
      </c>
    </row>
    <row r="88" spans="1:7" ht="15" customHeight="1" x14ac:dyDescent="0.25">
      <c r="A88" s="193" t="s">
        <v>1188</v>
      </c>
      <c r="C88" s="201">
        <v>0</v>
      </c>
    </row>
    <row r="89" spans="1:7" ht="15" customHeight="1" x14ac:dyDescent="0.25">
      <c r="A89" s="193" t="s">
        <v>1189</v>
      </c>
      <c r="C89" s="201">
        <v>0</v>
      </c>
    </row>
    <row r="90" spans="1:7" ht="15" customHeight="1" x14ac:dyDescent="0.25">
      <c r="A90" s="193" t="s">
        <v>1190</v>
      </c>
      <c r="C90" s="201">
        <v>0</v>
      </c>
    </row>
    <row r="91" spans="1:7" ht="15" customHeight="1" x14ac:dyDescent="0.25">
      <c r="A91" s="193" t="s">
        <v>1191</v>
      </c>
      <c r="C91" s="201">
        <v>0</v>
      </c>
      <c r="D91" s="196" t="s">
        <v>1192</v>
      </c>
    </row>
    <row r="92" spans="1:7" ht="15" customHeight="1" x14ac:dyDescent="0.25">
      <c r="A92" s="208" t="s">
        <v>1193</v>
      </c>
      <c r="C92" s="211">
        <f>SUM(C86:C91)</f>
        <v>0</v>
      </c>
    </row>
    <row r="93" spans="1:7" x14ac:dyDescent="0.25">
      <c r="C93" s="281"/>
    </row>
    <row r="94" spans="1:7" ht="17.25" customHeight="1" x14ac:dyDescent="0.3">
      <c r="A94" s="223" t="s">
        <v>1194</v>
      </c>
      <c r="B94" s="32"/>
      <c r="C94" s="346">
        <f>C83-C92</f>
        <v>0</v>
      </c>
      <c r="D94" s="200" t="str">
        <f>IF(C94&gt;0,"⚠️ You may owe additional tax",IF(C94&lt;0,"✅ Potential refund","Balanced"))</f>
        <v>Balanced</v>
      </c>
      <c r="E94" s="32"/>
      <c r="F94" s="32"/>
      <c r="G94" s="32"/>
    </row>
    <row r="95" spans="1:7" ht="15" customHeight="1" x14ac:dyDescent="0.25">
      <c r="A95" s="193" t="s">
        <v>1195</v>
      </c>
      <c r="C95" s="224">
        <f>IFERROR(C73/C23,0)</f>
        <v>0</v>
      </c>
      <c r="D95" s="196" t="s">
        <v>1196</v>
      </c>
    </row>
    <row r="96" spans="1:7" ht="15" customHeight="1" x14ac:dyDescent="0.25">
      <c r="A96" s="193" t="s">
        <v>1197</v>
      </c>
      <c r="C96" s="225">
        <f>IFERROR(C83/C23,0)</f>
        <v>0</v>
      </c>
      <c r="D96" s="196" t="s">
        <v>1198</v>
      </c>
    </row>
    <row r="97" spans="1:7" ht="15" customHeight="1" x14ac:dyDescent="0.25">
      <c r="A97" s="193" t="s">
        <v>1199</v>
      </c>
      <c r="C97" s="191" t="str">
        <f>IF(C63&gt;751600,"37%",IF(C63&gt;501050,"35%",IF(C63&gt;394600,"32%",IF(C63&gt;206700,"24%",IF(C63&gt;96950,"22%",IF(C63&gt;23850,"12%","10%"))))))</f>
        <v>10%</v>
      </c>
      <c r="D97" s="196" t="s">
        <v>1200</v>
      </c>
    </row>
    <row r="99" spans="1:7" ht="15.75" customHeight="1" x14ac:dyDescent="0.25">
      <c r="A99" s="226" t="s">
        <v>1201</v>
      </c>
      <c r="B99" s="227"/>
      <c r="C99" s="227"/>
      <c r="D99" s="227"/>
      <c r="E99" s="227"/>
      <c r="F99" s="227"/>
      <c r="G99" s="227"/>
    </row>
    <row r="100" spans="1:7" ht="15" customHeight="1" x14ac:dyDescent="0.25">
      <c r="A100" s="191" t="s">
        <v>1202</v>
      </c>
      <c r="C100" s="228">
        <f>C58</f>
        <v>1500</v>
      </c>
    </row>
    <row r="101" spans="1:7" ht="15" customHeight="1" x14ac:dyDescent="0.25">
      <c r="A101" s="191" t="s">
        <v>1203</v>
      </c>
      <c r="C101" s="228">
        <f>C27+C28+C29</f>
        <v>0</v>
      </c>
      <c r="D101" s="196" t="s">
        <v>1204</v>
      </c>
    </row>
    <row r="102" spans="1:7" ht="15" customHeight="1" x14ac:dyDescent="0.25">
      <c r="A102" s="191" t="s">
        <v>1205</v>
      </c>
      <c r="C102" s="229">
        <f>(C58+C27+C28+C29)*IFERROR(VALUE(SUBSTITUTE(C97,"%",""))/100,0.24)</f>
        <v>150</v>
      </c>
      <c r="D102" s="196" t="s">
        <v>1206</v>
      </c>
    </row>
    <row r="103" spans="1:7" ht="15" customHeight="1" x14ac:dyDescent="0.25">
      <c r="A103" s="191" t="s">
        <v>1207</v>
      </c>
      <c r="C103" s="206">
        <f>'Annual Summary'!B44+'Annual Summary'!B45</f>
        <v>0.42</v>
      </c>
      <c r="D103" s="196" t="s">
        <v>1208</v>
      </c>
    </row>
    <row r="104" spans="1:7" ht="15" customHeight="1" x14ac:dyDescent="0.25">
      <c r="A104" s="191" t="s">
        <v>1209</v>
      </c>
      <c r="C104" s="206">
        <f>(C58+C27+C28+C29)*C80</f>
        <v>74.25</v>
      </c>
    </row>
    <row r="105" spans="1:7" ht="15.75" customHeight="1" x14ac:dyDescent="0.25">
      <c r="A105" s="226" t="s">
        <v>1210</v>
      </c>
      <c r="B105" s="227"/>
      <c r="C105" s="230">
        <f>C102+C103+C104</f>
        <v>224.67</v>
      </c>
      <c r="D105" s="227"/>
      <c r="E105" s="227"/>
      <c r="F105" s="227"/>
      <c r="G105" s="227"/>
    </row>
    <row r="106" spans="1:7" ht="15" customHeight="1" x14ac:dyDescent="0.25">
      <c r="A106" s="231" t="s">
        <v>1211</v>
      </c>
    </row>
    <row r="107" spans="1:7" ht="15.75" customHeight="1" x14ac:dyDescent="0.25">
      <c r="A107" s="198" t="s">
        <v>1212</v>
      </c>
      <c r="B107" s="32"/>
      <c r="C107" s="199" t="s">
        <v>1213</v>
      </c>
      <c r="D107" s="199" t="s">
        <v>1214</v>
      </c>
      <c r="E107" s="199" t="s">
        <v>1215</v>
      </c>
      <c r="F107" s="199" t="s">
        <v>536</v>
      </c>
      <c r="G107" s="32"/>
    </row>
    <row r="108" spans="1:7" ht="15" customHeight="1" x14ac:dyDescent="0.25">
      <c r="A108" s="191" t="s">
        <v>1216</v>
      </c>
      <c r="C108" s="302">
        <v>45762</v>
      </c>
      <c r="D108" s="232">
        <f>IFERROR(MAX(C83-C86,0)/4,0)</f>
        <v>0</v>
      </c>
      <c r="E108" s="192" t="s">
        <v>1217</v>
      </c>
      <c r="F108" s="219">
        <f>D108</f>
        <v>0</v>
      </c>
    </row>
    <row r="109" spans="1:7" ht="15" customHeight="1" x14ac:dyDescent="0.25">
      <c r="A109" s="191" t="s">
        <v>1218</v>
      </c>
      <c r="C109" s="302">
        <v>45824</v>
      </c>
      <c r="D109" s="232">
        <f>D108</f>
        <v>0</v>
      </c>
      <c r="E109" s="192" t="s">
        <v>1217</v>
      </c>
      <c r="F109" s="219">
        <f>F108+D109</f>
        <v>0</v>
      </c>
    </row>
    <row r="110" spans="1:7" ht="15" customHeight="1" x14ac:dyDescent="0.25">
      <c r="A110" s="191" t="s">
        <v>1219</v>
      </c>
      <c r="C110" s="302">
        <v>45915</v>
      </c>
      <c r="D110" s="232">
        <f>D108</f>
        <v>0</v>
      </c>
      <c r="E110" s="192" t="s">
        <v>1217</v>
      </c>
      <c r="F110" s="219">
        <f>F109+D110</f>
        <v>0</v>
      </c>
    </row>
    <row r="111" spans="1:7" ht="15" customHeight="1" x14ac:dyDescent="0.25">
      <c r="A111" s="191" t="s">
        <v>1220</v>
      </c>
      <c r="C111" s="302">
        <v>46037</v>
      </c>
      <c r="D111" s="232">
        <f>D108</f>
        <v>0</v>
      </c>
      <c r="E111" s="192" t="s">
        <v>1217</v>
      </c>
      <c r="F111" s="219">
        <f>F110+D111</f>
        <v>0</v>
      </c>
    </row>
    <row r="113" spans="1:7" ht="15" customHeight="1" x14ac:dyDescent="0.25">
      <c r="A113" s="233" t="s">
        <v>1221</v>
      </c>
    </row>
    <row r="114" spans="1:7" ht="15" customHeight="1" x14ac:dyDescent="0.25">
      <c r="A114" s="234" t="s">
        <v>1222</v>
      </c>
    </row>
    <row r="115" spans="1:7" ht="15" customHeight="1" x14ac:dyDescent="0.25">
      <c r="A115" s="191" t="s">
        <v>1223</v>
      </c>
      <c r="C115" s="197">
        <f>MIN(C83*0.9,F8)</f>
        <v>0</v>
      </c>
      <c r="D115" s="235" t="str">
        <f>IF(C115&lt;=C92,"✅ You meet safe harbor — no penalty risk","⚠️ Increase payments to avoid penalty")</f>
        <v>✅ You meet safe harbor — no penalty risk</v>
      </c>
    </row>
    <row r="117" spans="1:7" ht="15" customHeight="1" x14ac:dyDescent="0.25">
      <c r="A117" s="236" t="s">
        <v>1313</v>
      </c>
      <c r="B117" s="32"/>
      <c r="C117" s="32"/>
      <c r="D117" s="32"/>
      <c r="E117" s="32"/>
      <c r="F117" s="32"/>
      <c r="G117" s="32"/>
    </row>
    <row r="118" spans="1:7" ht="15" customHeight="1" x14ac:dyDescent="0.25">
      <c r="A118" s="237" t="s">
        <v>1224</v>
      </c>
    </row>
  </sheetData>
  <dataValidations count="3">
    <dataValidation type="list" allowBlank="1" showInputMessage="1" showErrorMessage="1" sqref="B6" xr:uid="{00000000-0002-0000-1000-000000000000}">
      <formula1>"Single,Married Filing Jointly,Married Filing Separately,Head of Household,Qualifying Surviving Spouse"</formula1>
      <formula2>0</formula2>
    </dataValidation>
    <dataValidation type="list" allowBlank="1" showInputMessage="1" showErrorMessage="1" sqref="F7 G38" xr:uid="{00000000-0002-0000-1000-000001000000}">
      <formula1>"Yes,No"</formula1>
      <formula2>0</formula2>
    </dataValidation>
    <dataValidation type="list" allowBlank="1" showInputMessage="1" showErrorMessage="1" sqref="E108:E111" xr:uid="{00000000-0002-0000-1000-000002000000}">
      <formula1>"No,Yes"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9A227"/>
    <pageSetUpPr fitToPage="1"/>
  </sheetPr>
  <dimension ref="A1:F113"/>
  <sheetViews>
    <sheetView zoomScaleNormal="100" workbookViewId="0">
      <pane ySplit="6" topLeftCell="A7" activePane="bottomLeft" state="frozen"/>
      <selection pane="bottomLeft" activeCell="C5" sqref="C5"/>
    </sheetView>
  </sheetViews>
  <sheetFormatPr defaultColWidth="8.7109375" defaultRowHeight="15" x14ac:dyDescent="0.25"/>
  <cols>
    <col min="1" max="1" width="38" customWidth="1"/>
    <col min="2" max="6" width="18" customWidth="1"/>
  </cols>
  <sheetData>
    <row r="1" spans="1:6" ht="26.25" customHeight="1" x14ac:dyDescent="0.4">
      <c r="A1" s="465" t="s">
        <v>1225</v>
      </c>
      <c r="B1" s="361"/>
      <c r="C1" s="361"/>
      <c r="D1" s="361"/>
      <c r="E1" s="361"/>
      <c r="F1" s="361"/>
    </row>
    <row r="2" spans="1:6" ht="15" customHeight="1" x14ac:dyDescent="0.25">
      <c r="A2" s="469" t="s">
        <v>1226</v>
      </c>
      <c r="B2" s="361"/>
      <c r="C2" s="361"/>
      <c r="D2" s="361"/>
      <c r="E2" s="361"/>
      <c r="F2" s="361"/>
    </row>
    <row r="3" spans="1:6" ht="15" customHeight="1" x14ac:dyDescent="0.25">
      <c r="A3" s="33" t="s">
        <v>1227</v>
      </c>
    </row>
    <row r="4" spans="1:6" ht="15" customHeight="1" x14ac:dyDescent="0.25">
      <c r="A4" s="473" t="s">
        <v>1228</v>
      </c>
      <c r="B4" s="468"/>
      <c r="C4" s="472">
        <f>'Client Info'!C5</f>
        <v>0</v>
      </c>
      <c r="D4" s="467"/>
      <c r="E4" s="467"/>
      <c r="F4" s="468"/>
    </row>
    <row r="5" spans="1:6" ht="15" customHeight="1" x14ac:dyDescent="0.25">
      <c r="A5" s="473" t="s">
        <v>204</v>
      </c>
      <c r="B5" s="468"/>
      <c r="C5" s="472" t="str">
        <f>'Client Info'!C9</f>
        <v>2025</v>
      </c>
      <c r="D5" s="467"/>
      <c r="E5" s="467"/>
      <c r="F5" s="468"/>
    </row>
    <row r="7" spans="1:6" ht="15.75" customHeight="1" x14ac:dyDescent="0.25">
      <c r="A7" s="466" t="s">
        <v>1229</v>
      </c>
      <c r="B7" s="467"/>
      <c r="C7" s="467"/>
      <c r="D7" s="467"/>
      <c r="E7" s="467"/>
      <c r="F7" s="468"/>
    </row>
    <row r="8" spans="1:6" ht="15" customHeight="1" x14ac:dyDescent="0.25">
      <c r="A8" s="132" t="s">
        <v>1144</v>
      </c>
      <c r="B8" s="238">
        <f>'Expense Report'!E52</f>
        <v>0</v>
      </c>
      <c r="C8" s="438" t="s">
        <v>1230</v>
      </c>
      <c r="D8" s="361"/>
      <c r="E8" s="361"/>
      <c r="F8" s="361"/>
    </row>
    <row r="9" spans="1:6" ht="15" customHeight="1" x14ac:dyDescent="0.25">
      <c r="A9" s="132" t="s">
        <v>1231</v>
      </c>
      <c r="B9" s="238">
        <f>'14-Day Rental'!F48</f>
        <v>0</v>
      </c>
      <c r="C9" s="438" t="s">
        <v>1232</v>
      </c>
      <c r="D9" s="361"/>
      <c r="E9" s="361"/>
      <c r="F9" s="361"/>
    </row>
    <row r="10" spans="1:6" ht="15" customHeight="1" x14ac:dyDescent="0.25">
      <c r="A10" s="132" t="s">
        <v>1150</v>
      </c>
      <c r="B10" s="238">
        <f>'Family Employment'!B64</f>
        <v>0</v>
      </c>
      <c r="C10" s="438" t="s">
        <v>1233</v>
      </c>
      <c r="D10" s="361"/>
      <c r="E10" s="361"/>
      <c r="F10" s="361"/>
    </row>
    <row r="11" spans="1:6" ht="15" customHeight="1" x14ac:dyDescent="0.25">
      <c r="A11" s="132" t="s">
        <v>1234</v>
      </c>
      <c r="B11" s="238">
        <f>'Crypto Tracker'!E75</f>
        <v>0</v>
      </c>
      <c r="C11" s="438" t="s">
        <v>1235</v>
      </c>
      <c r="D11" s="361"/>
      <c r="E11" s="361"/>
      <c r="F11" s="361"/>
    </row>
    <row r="12" spans="1:6" ht="15.75" customHeight="1" x14ac:dyDescent="0.25">
      <c r="A12" s="239" t="s">
        <v>1236</v>
      </c>
      <c r="B12" s="240">
        <f>SUM(B8:B11)</f>
        <v>0</v>
      </c>
      <c r="C12" s="241"/>
      <c r="D12" s="241"/>
      <c r="E12" s="241"/>
      <c r="F12" s="241"/>
    </row>
    <row r="14" spans="1:6" ht="15.75" customHeight="1" x14ac:dyDescent="0.25">
      <c r="A14" s="470" t="s">
        <v>1237</v>
      </c>
      <c r="B14" s="467"/>
      <c r="C14" s="467"/>
      <c r="D14" s="467"/>
      <c r="E14" s="467"/>
      <c r="F14" s="468"/>
    </row>
    <row r="15" spans="1:6" ht="15" customHeight="1" x14ac:dyDescent="0.25">
      <c r="A15" s="132" t="s">
        <v>1238</v>
      </c>
      <c r="B15" s="238">
        <f>Equipment!J35</f>
        <v>0</v>
      </c>
      <c r="C15" s="438" t="s">
        <v>1239</v>
      </c>
      <c r="D15" s="361"/>
      <c r="E15" s="361"/>
      <c r="F15" s="361"/>
    </row>
    <row r="16" spans="1:6" ht="15" customHeight="1" x14ac:dyDescent="0.25">
      <c r="A16" s="132" t="s">
        <v>1146</v>
      </c>
      <c r="B16" s="238">
        <f>'Home Office'!B112</f>
        <v>1500</v>
      </c>
      <c r="C16" s="438" t="s">
        <v>1240</v>
      </c>
      <c r="D16" s="361"/>
      <c r="E16" s="361"/>
      <c r="F16" s="361"/>
    </row>
    <row r="17" spans="1:6" ht="15" customHeight="1" x14ac:dyDescent="0.25">
      <c r="A17" s="132" t="s">
        <v>1147</v>
      </c>
      <c r="B17" s="238">
        <f>'Vehicle Mileage'!B51</f>
        <v>0</v>
      </c>
      <c r="C17" s="438" t="s">
        <v>1241</v>
      </c>
      <c r="D17" s="361"/>
      <c r="E17" s="361"/>
      <c r="F17" s="361"/>
    </row>
    <row r="18" spans="1:6" ht="15" customHeight="1" x14ac:dyDescent="0.25">
      <c r="A18" s="132" t="s">
        <v>1242</v>
      </c>
      <c r="B18" s="238">
        <f>'Timing &amp; Loss Harvest'!D71</f>
        <v>0</v>
      </c>
      <c r="C18" s="438" t="s">
        <v>1243</v>
      </c>
      <c r="D18" s="361"/>
      <c r="E18" s="361"/>
      <c r="F18" s="361"/>
    </row>
    <row r="19" spans="1:6" ht="15" customHeight="1" x14ac:dyDescent="0.25">
      <c r="A19" s="132" t="s">
        <v>1244</v>
      </c>
      <c r="B19" s="238">
        <f>'Family Co &amp; Advisors'!E37</f>
        <v>0</v>
      </c>
      <c r="C19" s="438" t="s">
        <v>1245</v>
      </c>
      <c r="D19" s="361"/>
      <c r="E19" s="361"/>
      <c r="F19" s="361"/>
    </row>
    <row r="20" spans="1:6" ht="15" customHeight="1" x14ac:dyDescent="0.25">
      <c r="A20" s="132" t="s">
        <v>1246</v>
      </c>
      <c r="B20" s="238">
        <f>'Family Co &amp; Advisors'!E54</f>
        <v>0</v>
      </c>
      <c r="C20" s="438" t="s">
        <v>1247</v>
      </c>
      <c r="D20" s="361"/>
      <c r="E20" s="361"/>
      <c r="F20" s="361"/>
    </row>
    <row r="21" spans="1:6" ht="15.75" customHeight="1" x14ac:dyDescent="0.25">
      <c r="A21" s="242" t="s">
        <v>1248</v>
      </c>
      <c r="B21" s="243">
        <f>SUM(B15:B20)</f>
        <v>1500</v>
      </c>
      <c r="C21" s="241"/>
      <c r="D21" s="241"/>
      <c r="E21" s="241"/>
      <c r="F21" s="241"/>
    </row>
    <row r="23" spans="1:6" ht="15.75" customHeight="1" x14ac:dyDescent="0.25">
      <c r="A23" s="471" t="s">
        <v>1249</v>
      </c>
      <c r="B23" s="467"/>
      <c r="C23" s="467"/>
      <c r="D23" s="467"/>
      <c r="E23" s="467"/>
      <c r="F23" s="468"/>
    </row>
    <row r="24" spans="1:6" ht="15" customHeight="1" x14ac:dyDescent="0.25">
      <c r="A24" s="132" t="s">
        <v>1250</v>
      </c>
      <c r="B24" s="238">
        <f>'Health &amp; HSA'!B70</f>
        <v>0</v>
      </c>
      <c r="C24" s="438" t="s">
        <v>1251</v>
      </c>
      <c r="D24" s="361"/>
      <c r="E24" s="361"/>
      <c r="F24" s="361"/>
    </row>
    <row r="25" spans="1:6" ht="15" customHeight="1" x14ac:dyDescent="0.25">
      <c r="A25" s="132" t="s">
        <v>1252</v>
      </c>
      <c r="B25" s="238">
        <f>'Health &amp; HSA'!B71</f>
        <v>0</v>
      </c>
      <c r="C25" s="438" t="s">
        <v>68</v>
      </c>
      <c r="D25" s="361"/>
      <c r="E25" s="361"/>
      <c r="F25" s="361"/>
    </row>
    <row r="26" spans="1:6" ht="15" customHeight="1" x14ac:dyDescent="0.25">
      <c r="A26" s="132" t="s">
        <v>1253</v>
      </c>
      <c r="B26" s="238">
        <f>'Retirement Contributions'!B39</f>
        <v>0</v>
      </c>
      <c r="C26" s="438" t="s">
        <v>1254</v>
      </c>
      <c r="D26" s="361"/>
      <c r="E26" s="361"/>
      <c r="F26" s="361"/>
    </row>
    <row r="27" spans="1:6" ht="15" customHeight="1" x14ac:dyDescent="0.25">
      <c r="A27" s="132" t="s">
        <v>1255</v>
      </c>
      <c r="B27" s="244">
        <f>'Retirement Contributions'!B40</f>
        <v>0</v>
      </c>
      <c r="C27" s="438" t="s">
        <v>1256</v>
      </c>
      <c r="D27" s="361"/>
      <c r="E27" s="361"/>
      <c r="F27" s="361"/>
    </row>
    <row r="28" spans="1:6" ht="15.75" customHeight="1" x14ac:dyDescent="0.25">
      <c r="A28" s="245" t="s">
        <v>1257</v>
      </c>
      <c r="B28" s="246">
        <f>B24+B25+B26</f>
        <v>0</v>
      </c>
      <c r="C28" s="476" t="s">
        <v>1258</v>
      </c>
      <c r="D28" s="477"/>
      <c r="E28" s="477"/>
      <c r="F28" s="478"/>
    </row>
    <row r="29" spans="1:6" x14ac:dyDescent="0.25">
      <c r="A29" s="278" t="s">
        <v>1259</v>
      </c>
      <c r="B29" s="279"/>
      <c r="C29" s="279"/>
      <c r="D29" s="279"/>
      <c r="E29" s="279"/>
      <c r="F29" s="279"/>
    </row>
    <row r="30" spans="1:6" ht="15.75" customHeight="1" x14ac:dyDescent="0.25">
      <c r="A30" s="280" t="s">
        <v>1260</v>
      </c>
      <c r="B30" s="308">
        <f>'Schedule E'!F51</f>
        <v>0</v>
      </c>
      <c r="C30" t="s">
        <v>1261</v>
      </c>
    </row>
    <row r="31" spans="1:6" ht="15" customHeight="1" x14ac:dyDescent="0.25">
      <c r="A31" s="280" t="s">
        <v>1262</v>
      </c>
      <c r="B31" s="281">
        <f>SUM('Schedule E'!B63:E63)</f>
        <v>0</v>
      </c>
      <c r="C31" s="276" t="s">
        <v>1263</v>
      </c>
    </row>
    <row r="32" spans="1:6" ht="15" customHeight="1" x14ac:dyDescent="0.25">
      <c r="A32" s="274" t="s">
        <v>1264</v>
      </c>
      <c r="B32" s="281">
        <f>B30</f>
        <v>0</v>
      </c>
    </row>
    <row r="33" spans="1:6" ht="15" customHeight="1" x14ac:dyDescent="0.25"/>
    <row r="34" spans="1:6" ht="18.75" customHeight="1" x14ac:dyDescent="0.25"/>
    <row r="35" spans="1:6" ht="15.75" x14ac:dyDescent="0.25">
      <c r="A35" s="247" t="s">
        <v>1265</v>
      </c>
      <c r="B35" s="21"/>
      <c r="C35" s="21"/>
      <c r="D35" s="21"/>
      <c r="E35" s="21"/>
      <c r="F35" s="22"/>
    </row>
    <row r="36" spans="1:6" ht="15.75" customHeight="1" x14ac:dyDescent="0.25">
      <c r="A36" s="134" t="s">
        <v>1266</v>
      </c>
      <c r="B36" s="281">
        <f>B12</f>
        <v>0</v>
      </c>
    </row>
    <row r="37" spans="1:6" ht="15" customHeight="1" x14ac:dyDescent="0.25">
      <c r="A37" s="134" t="s">
        <v>1267</v>
      </c>
      <c r="B37" s="281">
        <f>B21</f>
        <v>1500</v>
      </c>
    </row>
    <row r="38" spans="1:6" ht="15.75" customHeight="1" x14ac:dyDescent="0.25">
      <c r="A38" s="134" t="s">
        <v>1268</v>
      </c>
      <c r="B38" s="248">
        <f>B28</f>
        <v>0</v>
      </c>
    </row>
    <row r="39" spans="1:6" ht="15.75" customHeight="1" x14ac:dyDescent="0.25">
      <c r="A39" s="280" t="s">
        <v>1269</v>
      </c>
      <c r="B39" s="281">
        <f>B32</f>
        <v>0</v>
      </c>
    </row>
    <row r="40" spans="1:6" ht="15.75" customHeight="1" x14ac:dyDescent="0.3">
      <c r="A40" s="249" t="s">
        <v>1270</v>
      </c>
      <c r="B40" s="250">
        <f>SUM(B36:B39)</f>
        <v>1500</v>
      </c>
      <c r="C40" s="241"/>
      <c r="D40" s="241"/>
      <c r="E40" s="241"/>
      <c r="F40" s="241"/>
    </row>
    <row r="42" spans="1:6" ht="15" customHeight="1" x14ac:dyDescent="0.25">
      <c r="A42" s="251" t="s">
        <v>912</v>
      </c>
      <c r="B42" s="21"/>
      <c r="C42" s="21"/>
      <c r="D42" s="21"/>
      <c r="E42" s="21"/>
      <c r="F42" s="22"/>
    </row>
    <row r="43" spans="1:6" ht="15" customHeight="1" x14ac:dyDescent="0.25">
      <c r="A43" s="130" t="s">
        <v>1271</v>
      </c>
    </row>
    <row r="44" spans="1:6" ht="15" customHeight="1" x14ac:dyDescent="0.25">
      <c r="A44" s="252" t="s">
        <v>1272</v>
      </c>
      <c r="B44" s="253">
        <v>0.37</v>
      </c>
      <c r="C44" s="361"/>
      <c r="D44" s="361"/>
      <c r="E44" s="361"/>
      <c r="F44" s="361"/>
    </row>
    <row r="45" spans="1:6" ht="15" customHeight="1" x14ac:dyDescent="0.25">
      <c r="A45" s="252" t="s">
        <v>1273</v>
      </c>
      <c r="B45" s="253">
        <v>0.05</v>
      </c>
      <c r="C45" s="361"/>
      <c r="D45" s="361"/>
      <c r="E45" s="361"/>
      <c r="F45" s="361"/>
    </row>
    <row r="46" spans="1:6" ht="18.75" customHeight="1" x14ac:dyDescent="0.25">
      <c r="A46" s="252" t="s">
        <v>1274</v>
      </c>
      <c r="B46" s="254">
        <f>B44+B45</f>
        <v>0.42</v>
      </c>
    </row>
    <row r="48" spans="1:6" ht="15.75" customHeight="1" x14ac:dyDescent="0.25">
      <c r="A48" s="134" t="s">
        <v>1275</v>
      </c>
      <c r="B48" s="281">
        <f>B40*B44</f>
        <v>555</v>
      </c>
    </row>
    <row r="49" spans="1:6" ht="15" customHeight="1" x14ac:dyDescent="0.25">
      <c r="A49" s="134" t="s">
        <v>1276</v>
      </c>
      <c r="B49" s="281">
        <f>B40*B45</f>
        <v>75</v>
      </c>
    </row>
    <row r="50" spans="1:6" ht="15" customHeight="1" x14ac:dyDescent="0.25">
      <c r="A50" s="132" t="s">
        <v>1277</v>
      </c>
      <c r="B50" s="238">
        <f>'14-Day Rental'!F48*0.153</f>
        <v>0</v>
      </c>
      <c r="C50" s="130" t="s">
        <v>1278</v>
      </c>
    </row>
    <row r="51" spans="1:6" ht="15" customHeight="1" x14ac:dyDescent="0.25">
      <c r="A51" s="132" t="s">
        <v>1279</v>
      </c>
      <c r="B51" s="238">
        <f>'Family Employment'!B65</f>
        <v>0</v>
      </c>
      <c r="C51" s="130" t="s">
        <v>1280</v>
      </c>
    </row>
    <row r="52" spans="1:6" ht="15" customHeight="1" x14ac:dyDescent="0.3">
      <c r="A52" s="255" t="s">
        <v>1281</v>
      </c>
      <c r="B52" s="256">
        <f>SUM(B48:B51)</f>
        <v>630</v>
      </c>
      <c r="C52" s="241"/>
      <c r="D52" s="241"/>
      <c r="E52" s="241"/>
      <c r="F52" s="241"/>
    </row>
    <row r="53" spans="1:6" ht="15" customHeight="1" x14ac:dyDescent="0.25"/>
    <row r="54" spans="1:6" ht="15" customHeight="1" x14ac:dyDescent="0.25">
      <c r="A54" s="247" t="s">
        <v>1282</v>
      </c>
      <c r="B54" s="21"/>
      <c r="C54" s="21"/>
      <c r="D54" s="21"/>
      <c r="E54" s="21"/>
      <c r="F54" s="22"/>
    </row>
    <row r="55" spans="1:6" ht="15" customHeight="1" x14ac:dyDescent="0.25">
      <c r="A55" s="125" t="s">
        <v>1283</v>
      </c>
    </row>
    <row r="56" spans="1:6" ht="15.75" customHeight="1" x14ac:dyDescent="0.25">
      <c r="A56" s="257"/>
      <c r="B56" s="3" t="s">
        <v>1284</v>
      </c>
      <c r="C56" s="3" t="s">
        <v>1285</v>
      </c>
      <c r="D56" s="3" t="s">
        <v>1286</v>
      </c>
      <c r="E56" s="3" t="s">
        <v>1287</v>
      </c>
      <c r="F56" s="3" t="s">
        <v>1288</v>
      </c>
    </row>
    <row r="57" spans="1:6" x14ac:dyDescent="0.25">
      <c r="A57" s="258" t="s">
        <v>1289</v>
      </c>
      <c r="B57" s="259"/>
      <c r="C57" s="259"/>
      <c r="D57" s="259"/>
      <c r="E57" s="259"/>
      <c r="F57" s="260">
        <f>SUM(B57:E57)</f>
        <v>0</v>
      </c>
    </row>
    <row r="58" spans="1:6" ht="15.75" customHeight="1" x14ac:dyDescent="0.25">
      <c r="A58" s="479" t="s">
        <v>1290</v>
      </c>
      <c r="B58" s="480"/>
      <c r="C58" s="480"/>
      <c r="D58" s="480"/>
      <c r="E58" s="480"/>
      <c r="F58" s="481"/>
    </row>
    <row r="59" spans="1:6" ht="15" customHeight="1" x14ac:dyDescent="0.25">
      <c r="A59" s="258" t="s">
        <v>1291</v>
      </c>
      <c r="B59" s="260">
        <f>IFERROR(B40/4,0)</f>
        <v>375</v>
      </c>
      <c r="C59" s="260">
        <f>IFERROR(B40/4,0)</f>
        <v>375</v>
      </c>
      <c r="D59" s="260">
        <f>IFERROR(B40/4,0)</f>
        <v>375</v>
      </c>
      <c r="E59" s="260">
        <f>IFERROR(B40/4,0)</f>
        <v>375</v>
      </c>
      <c r="F59" s="260">
        <f>B40</f>
        <v>1500</v>
      </c>
    </row>
    <row r="60" spans="1:6" ht="15" customHeight="1" x14ac:dyDescent="0.25">
      <c r="A60" s="252" t="s">
        <v>1292</v>
      </c>
      <c r="B60" s="261">
        <f>B57-B58-B59</f>
        <v>-375</v>
      </c>
      <c r="C60" s="261">
        <f>IFERROR(C57-C58-C59,0)</f>
        <v>-375</v>
      </c>
      <c r="D60" s="261">
        <f>IFERROR(D57-D58-D59,0)</f>
        <v>-375</v>
      </c>
      <c r="E60" s="261">
        <f>IFERROR(E57-E58-E59,0)</f>
        <v>-375</v>
      </c>
      <c r="F60" s="261">
        <f>IFERROR(F57-F58-F59,0)</f>
        <v>-1500</v>
      </c>
    </row>
    <row r="61" spans="1:6" ht="15" customHeight="1" x14ac:dyDescent="0.25">
      <c r="A61" s="262" t="s">
        <v>1293</v>
      </c>
      <c r="B61" s="260">
        <f>MAX(B60*B46,0)</f>
        <v>0</v>
      </c>
      <c r="C61" s="260">
        <f>MAX(C60*B46,0)</f>
        <v>0</v>
      </c>
      <c r="D61" s="260">
        <f>MAX(D60*B46,0)</f>
        <v>0</v>
      </c>
      <c r="E61" s="260">
        <f>MAX(E60*B46,0)</f>
        <v>0</v>
      </c>
      <c r="F61" s="260">
        <f>MAX(F60*B46,0)</f>
        <v>0</v>
      </c>
    </row>
    <row r="62" spans="1:6" ht="15" customHeight="1" x14ac:dyDescent="0.25">
      <c r="A62" s="263" t="s">
        <v>1294</v>
      </c>
      <c r="B62" s="264">
        <f>IFERROR(B61/4,0)</f>
        <v>0</v>
      </c>
      <c r="C62" s="264">
        <f>IFERROR(C61/4,0)</f>
        <v>0</v>
      </c>
      <c r="D62" s="264">
        <f>IFERROR(D61/4,0)</f>
        <v>0</v>
      </c>
      <c r="E62" s="264">
        <f>IFERROR(E61/4,0)</f>
        <v>0</v>
      </c>
      <c r="F62" s="264">
        <f>SUM(B62:E62)</f>
        <v>0</v>
      </c>
    </row>
    <row r="63" spans="1:6" ht="15" customHeight="1" x14ac:dyDescent="0.25"/>
    <row r="64" spans="1:6" ht="15" customHeight="1" x14ac:dyDescent="0.25">
      <c r="A64" s="265" t="s">
        <v>1295</v>
      </c>
      <c r="B64" s="21"/>
      <c r="C64" s="21"/>
      <c r="D64" s="21"/>
      <c r="E64" s="21"/>
      <c r="F64" s="22"/>
    </row>
    <row r="65" spans="1:2" ht="15" customHeight="1" x14ac:dyDescent="0.25">
      <c r="A65" s="145" t="s">
        <v>1296</v>
      </c>
      <c r="B65" s="138">
        <f>B8</f>
        <v>0</v>
      </c>
    </row>
    <row r="66" spans="1:2" ht="15" customHeight="1" x14ac:dyDescent="0.25">
      <c r="A66" s="145" t="s">
        <v>1297</v>
      </c>
      <c r="B66" s="138">
        <f>B9</f>
        <v>0</v>
      </c>
    </row>
    <row r="67" spans="1:2" ht="15" customHeight="1" x14ac:dyDescent="0.25">
      <c r="A67" s="145" t="s">
        <v>1298</v>
      </c>
      <c r="B67" s="138">
        <f>B10</f>
        <v>0</v>
      </c>
    </row>
    <row r="68" spans="1:2" ht="15" customHeight="1" x14ac:dyDescent="0.25">
      <c r="A68" s="145" t="s">
        <v>1299</v>
      </c>
      <c r="B68" s="138">
        <f>B11</f>
        <v>0</v>
      </c>
    </row>
    <row r="69" spans="1:2" ht="15" customHeight="1" x14ac:dyDescent="0.25">
      <c r="A69" s="145" t="s">
        <v>1300</v>
      </c>
      <c r="B69" s="138">
        <f>B15</f>
        <v>0</v>
      </c>
    </row>
    <row r="70" spans="1:2" x14ac:dyDescent="0.25">
      <c r="A70" s="145" t="s">
        <v>1301</v>
      </c>
      <c r="B70" s="138">
        <f>B16</f>
        <v>1500</v>
      </c>
    </row>
    <row r="71" spans="1:2" x14ac:dyDescent="0.25">
      <c r="A71" s="145" t="s">
        <v>1302</v>
      </c>
      <c r="B71" s="138">
        <f>B17</f>
        <v>0</v>
      </c>
    </row>
    <row r="72" spans="1:2" x14ac:dyDescent="0.25">
      <c r="A72" s="145" t="s">
        <v>1303</v>
      </c>
      <c r="B72" s="138">
        <f>B18</f>
        <v>0</v>
      </c>
    </row>
    <row r="73" spans="1:2" x14ac:dyDescent="0.25">
      <c r="A73" s="145" t="s">
        <v>1304</v>
      </c>
      <c r="B73" s="138">
        <f>IFERROR(B19+B20,0)</f>
        <v>0</v>
      </c>
    </row>
    <row r="74" spans="1:2" x14ac:dyDescent="0.25">
      <c r="A74" s="145" t="s">
        <v>1305</v>
      </c>
      <c r="B74" s="138">
        <f>IFERROR(B24+B25,0)</f>
        <v>0</v>
      </c>
    </row>
    <row r="75" spans="1:2" x14ac:dyDescent="0.25">
      <c r="A75" s="145" t="s">
        <v>1306</v>
      </c>
      <c r="B75" s="138">
        <f>B26</f>
        <v>0</v>
      </c>
    </row>
    <row r="76" spans="1:2" x14ac:dyDescent="0.25">
      <c r="A76" s="280" t="s">
        <v>1307</v>
      </c>
      <c r="B76" s="281">
        <f>B30</f>
        <v>0</v>
      </c>
    </row>
    <row r="87" spans="1:6" ht="15.75" customHeight="1" x14ac:dyDescent="0.25">
      <c r="A87" s="361"/>
      <c r="B87" s="361"/>
      <c r="C87" s="361"/>
      <c r="D87" s="361"/>
      <c r="E87" s="361"/>
      <c r="F87" s="361"/>
    </row>
    <row r="88" spans="1:6" ht="15.75" customHeight="1" x14ac:dyDescent="0.25"/>
    <row r="89" spans="1:6" ht="15" customHeight="1" x14ac:dyDescent="0.25"/>
    <row r="90" spans="1:6" ht="15.75" customHeight="1" x14ac:dyDescent="0.25"/>
    <row r="91" spans="1:6" ht="18.75" customHeight="1" x14ac:dyDescent="0.25"/>
    <row r="92" spans="1:6" ht="15" customHeight="1" x14ac:dyDescent="0.25">
      <c r="A92" s="361"/>
      <c r="B92" s="361"/>
      <c r="C92" s="361"/>
      <c r="D92" s="361"/>
      <c r="E92" s="361"/>
      <c r="F92" s="361"/>
    </row>
    <row r="94" spans="1:6" ht="15.75" customHeight="1" x14ac:dyDescent="0.25">
      <c r="A94" s="251" t="s">
        <v>1308</v>
      </c>
      <c r="B94" s="21"/>
      <c r="C94" s="21"/>
      <c r="D94" s="21"/>
      <c r="E94" s="21"/>
      <c r="F94" s="22"/>
    </row>
    <row r="95" spans="1:6" ht="15" customHeight="1" x14ac:dyDescent="0.25">
      <c r="A95" s="252" t="s">
        <v>1309</v>
      </c>
      <c r="B95" s="266">
        <v>6597</v>
      </c>
    </row>
    <row r="96" spans="1:6" ht="15" customHeight="1" x14ac:dyDescent="0.25">
      <c r="A96" s="267" t="s">
        <v>1310</v>
      </c>
      <c r="B96" s="268">
        <f>B52</f>
        <v>630</v>
      </c>
    </row>
    <row r="97" spans="1:6" ht="15" customHeight="1" x14ac:dyDescent="0.25">
      <c r="A97" s="263" t="s">
        <v>1311</v>
      </c>
      <c r="B97" s="269">
        <f>B96-B95</f>
        <v>-5967</v>
      </c>
    </row>
    <row r="98" spans="1:6" ht="15" customHeight="1" x14ac:dyDescent="0.3">
      <c r="A98" s="270" t="s">
        <v>1319</v>
      </c>
      <c r="B98" s="271">
        <f>IFERROR(B96/B95,"—")</f>
        <v>9.5497953615279671E-2</v>
      </c>
    </row>
    <row r="99" spans="1:6" ht="15" customHeight="1" x14ac:dyDescent="0.3">
      <c r="A99" s="347" t="s">
        <v>1320</v>
      </c>
      <c r="B99" s="348">
        <f>IFERROR((B97)/B95,"—")</f>
        <v>-0.90450204638472032</v>
      </c>
    </row>
    <row r="100" spans="1:6" ht="15" customHeight="1" x14ac:dyDescent="0.25">
      <c r="A100" s="178" t="s">
        <v>1321</v>
      </c>
    </row>
    <row r="102" spans="1:6" ht="15" customHeight="1" x14ac:dyDescent="0.25">
      <c r="A102" s="475" t="s">
        <v>1312</v>
      </c>
      <c r="B102" s="361"/>
      <c r="C102" s="361"/>
      <c r="D102" s="361"/>
      <c r="E102" s="361"/>
      <c r="F102" s="361"/>
    </row>
    <row r="103" spans="1:6" ht="15" customHeight="1" x14ac:dyDescent="0.25">
      <c r="A103" s="474"/>
      <c r="B103" s="467"/>
      <c r="C103" s="467"/>
      <c r="D103" s="467"/>
      <c r="E103" s="467"/>
      <c r="F103" s="468"/>
    </row>
    <row r="104" spans="1:6" x14ac:dyDescent="0.25">
      <c r="A104" s="173"/>
      <c r="B104" s="173"/>
      <c r="C104" s="173"/>
      <c r="D104" s="173"/>
      <c r="E104" s="173"/>
      <c r="F104" s="173"/>
    </row>
    <row r="105" spans="1:6" ht="15" customHeight="1" x14ac:dyDescent="0.25">
      <c r="A105" s="474"/>
      <c r="B105" s="467"/>
      <c r="C105" s="467"/>
      <c r="D105" s="467"/>
      <c r="E105" s="467"/>
      <c r="F105" s="468"/>
    </row>
    <row r="106" spans="1:6" ht="15" customHeight="1" x14ac:dyDescent="0.25">
      <c r="A106" s="474"/>
      <c r="B106" s="467"/>
      <c r="C106" s="467"/>
      <c r="D106" s="467"/>
      <c r="E106" s="467"/>
      <c r="F106" s="468"/>
    </row>
    <row r="107" spans="1:6" x14ac:dyDescent="0.25">
      <c r="A107" s="173"/>
      <c r="B107" s="173"/>
      <c r="C107" s="173"/>
      <c r="D107" s="173"/>
      <c r="E107" s="173"/>
      <c r="F107" s="173"/>
    </row>
    <row r="109" spans="1:6" x14ac:dyDescent="0.25">
      <c r="A109" s="272" t="s">
        <v>750</v>
      </c>
    </row>
    <row r="110" spans="1:6" x14ac:dyDescent="0.25">
      <c r="A110" s="273" t="s">
        <v>79</v>
      </c>
    </row>
    <row r="112" spans="1:6" x14ac:dyDescent="0.25">
      <c r="A112" s="1" t="s">
        <v>1313</v>
      </c>
    </row>
    <row r="113" spans="1:1" x14ac:dyDescent="0.25">
      <c r="A113" s="75" t="s">
        <v>81</v>
      </c>
    </row>
  </sheetData>
  <mergeCells count="33">
    <mergeCell ref="C44:F44"/>
    <mergeCell ref="A4:B4"/>
    <mergeCell ref="C9:F9"/>
    <mergeCell ref="C17:F17"/>
    <mergeCell ref="C8:F8"/>
    <mergeCell ref="A106:F106"/>
    <mergeCell ref="A102:F102"/>
    <mergeCell ref="C19:F19"/>
    <mergeCell ref="A105:F105"/>
    <mergeCell ref="C28:F28"/>
    <mergeCell ref="C24:F24"/>
    <mergeCell ref="C45:F45"/>
    <mergeCell ref="A103:F103"/>
    <mergeCell ref="C26:F26"/>
    <mergeCell ref="A58:F58"/>
    <mergeCell ref="C25:F25"/>
    <mergeCell ref="A92:F92"/>
    <mergeCell ref="A1:F1"/>
    <mergeCell ref="C11:F11"/>
    <mergeCell ref="C27:F27"/>
    <mergeCell ref="A87:F87"/>
    <mergeCell ref="A7:F7"/>
    <mergeCell ref="A2:F2"/>
    <mergeCell ref="C18:F18"/>
    <mergeCell ref="A14:F14"/>
    <mergeCell ref="A23:F23"/>
    <mergeCell ref="C15:F15"/>
    <mergeCell ref="C5:F5"/>
    <mergeCell ref="C4:F4"/>
    <mergeCell ref="C20:F20"/>
    <mergeCell ref="A5:B5"/>
    <mergeCell ref="C16:F16"/>
    <mergeCell ref="C10:F10"/>
  </mergeCells>
  <conditionalFormatting sqref="B90">
    <cfRule type="cellIs" dxfId="1" priority="2" operator="lessThan">
      <formula>0</formula>
    </cfRule>
    <cfRule type="cellIs" dxfId="0" priority="3" operator="greaterThanOrEqual">
      <formula>0</formula>
    </cfRule>
  </conditionalFormatting>
  <pageMargins left="0.5" right="0.5" top="0.75" bottom="0.75" header="0.3" footer="0.3"/>
  <pageSetup fitToHeight="0" orientation="portrait" horizontalDpi="300" verticalDpi="300"/>
  <headerFooter>
    <oddHeader>&amp;C&amp;9 &amp;K64748bEiduk Tax &amp;&amp; Wealth  |  Annual Tax Savings Summary</oddHeader>
    <oddFooter>&amp;L&amp;8 &amp;K64748bDIY Toolkit v3.0  |  © 2026 Eiduk Tax &amp;&amp; Wealth&amp;R&amp;8 &amp;K64748bPage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zoomScaleNormal="100" workbookViewId="0">
      <pane ySplit="3" topLeftCell="A4" activePane="bottomLeft" state="frozen"/>
      <selection pane="bottomLeft" activeCell="B25" sqref="B25:E25"/>
    </sheetView>
  </sheetViews>
  <sheetFormatPr defaultColWidth="8.7109375" defaultRowHeight="15" x14ac:dyDescent="0.25"/>
  <cols>
    <col min="1" max="1" width="3.42578125" customWidth="1"/>
    <col min="2" max="2" width="44.28515625" bestFit="1" customWidth="1"/>
    <col min="3" max="3" width="37.140625" bestFit="1" customWidth="1"/>
    <col min="4" max="4" width="7.85546875" bestFit="1" customWidth="1"/>
    <col min="5" max="5" width="35" customWidth="1"/>
  </cols>
  <sheetData>
    <row r="1" spans="1:5" ht="34.5" customHeight="1" x14ac:dyDescent="0.25">
      <c r="A1" s="376" t="s">
        <v>196</v>
      </c>
      <c r="B1" s="361"/>
      <c r="C1" s="361"/>
      <c r="D1" s="361"/>
      <c r="E1" s="361"/>
    </row>
    <row r="2" spans="1:5" ht="24.75" customHeight="1" x14ac:dyDescent="0.25">
      <c r="A2" s="380" t="s">
        <v>79</v>
      </c>
      <c r="B2" s="361"/>
      <c r="C2" s="361"/>
      <c r="D2" s="361"/>
      <c r="E2" s="361"/>
    </row>
    <row r="3" spans="1:5" ht="9.75" customHeight="1" x14ac:dyDescent="0.25">
      <c r="A3" s="33" t="s">
        <v>197</v>
      </c>
    </row>
    <row r="4" spans="1:5" ht="24.75" customHeight="1" x14ac:dyDescent="0.25">
      <c r="B4" s="377" t="s">
        <v>198</v>
      </c>
      <c r="C4" s="361"/>
      <c r="D4" s="361"/>
      <c r="E4" s="361"/>
    </row>
    <row r="5" spans="1:5" ht="21.75" customHeight="1" x14ac:dyDescent="0.25">
      <c r="B5" s="34" t="s">
        <v>199</v>
      </c>
      <c r="C5" s="35"/>
    </row>
    <row r="6" spans="1:5" ht="21.75" customHeight="1" x14ac:dyDescent="0.25">
      <c r="B6" s="34" t="s">
        <v>200</v>
      </c>
      <c r="C6" s="35"/>
    </row>
    <row r="7" spans="1:5" ht="21.75" customHeight="1" x14ac:dyDescent="0.25">
      <c r="B7" s="34" t="s">
        <v>201</v>
      </c>
      <c r="C7" s="35" t="s">
        <v>202</v>
      </c>
    </row>
    <row r="8" spans="1:5" ht="21.75" customHeight="1" x14ac:dyDescent="0.25">
      <c r="B8" s="34" t="s">
        <v>203</v>
      </c>
      <c r="C8" s="35"/>
    </row>
    <row r="9" spans="1:5" ht="21.75" customHeight="1" x14ac:dyDescent="0.25">
      <c r="B9" s="34" t="s">
        <v>204</v>
      </c>
      <c r="C9" s="35" t="s">
        <v>205</v>
      </c>
    </row>
    <row r="10" spans="1:5" ht="9.75" customHeight="1" x14ac:dyDescent="0.25"/>
    <row r="11" spans="1:5" ht="24.75" customHeight="1" x14ac:dyDescent="0.25">
      <c r="B11" s="377" t="s">
        <v>206</v>
      </c>
      <c r="C11" s="361"/>
      <c r="D11" s="361"/>
      <c r="E11" s="361"/>
    </row>
    <row r="12" spans="1:5" ht="21.75" customHeight="1" x14ac:dyDescent="0.25">
      <c r="B12" s="34" t="s">
        <v>207</v>
      </c>
      <c r="C12" s="35"/>
    </row>
    <row r="13" spans="1:5" ht="21.75" customHeight="1" x14ac:dyDescent="0.25">
      <c r="B13" s="34" t="s">
        <v>208</v>
      </c>
      <c r="C13" s="35"/>
    </row>
    <row r="14" spans="1:5" ht="21.75" customHeight="1" x14ac:dyDescent="0.25">
      <c r="B14" s="34" t="s">
        <v>209</v>
      </c>
      <c r="C14" s="35" t="s">
        <v>1322</v>
      </c>
    </row>
    <row r="15" spans="1:5" ht="21.75" customHeight="1" x14ac:dyDescent="0.25">
      <c r="B15" s="34" t="s">
        <v>210</v>
      </c>
      <c r="C15" s="35"/>
    </row>
    <row r="16" spans="1:5" ht="9.75" customHeight="1" x14ac:dyDescent="0.25"/>
    <row r="17" spans="2:5" ht="24.75" customHeight="1" x14ac:dyDescent="0.25">
      <c r="B17" s="377" t="s">
        <v>211</v>
      </c>
      <c r="C17" s="361"/>
      <c r="D17" s="361"/>
      <c r="E17" s="361"/>
    </row>
    <row r="18" spans="2:5" ht="21.75" customHeight="1" x14ac:dyDescent="0.25">
      <c r="B18" s="34" t="s">
        <v>212</v>
      </c>
      <c r="C18" s="35"/>
    </row>
    <row r="19" spans="2:5" ht="21.75" customHeight="1" x14ac:dyDescent="0.25">
      <c r="B19" s="34" t="s">
        <v>213</v>
      </c>
      <c r="C19" s="36" t="s">
        <v>214</v>
      </c>
    </row>
    <row r="20" spans="2:5" ht="21.75" customHeight="1" x14ac:dyDescent="0.25">
      <c r="B20" s="34" t="s">
        <v>215</v>
      </c>
      <c r="C20" s="35"/>
    </row>
    <row r="21" spans="2:5" ht="21.75" customHeight="1" x14ac:dyDescent="0.25">
      <c r="B21" s="34" t="s">
        <v>216</v>
      </c>
      <c r="C21" s="35"/>
    </row>
    <row r="22" spans="2:5" ht="19.5" customHeight="1" x14ac:dyDescent="0.25"/>
    <row r="23" spans="2:5" ht="15" customHeight="1" x14ac:dyDescent="0.25">
      <c r="B23" s="379" t="s">
        <v>217</v>
      </c>
      <c r="C23" s="361"/>
      <c r="D23" s="361"/>
      <c r="E23" s="361"/>
    </row>
    <row r="25" spans="2:5" ht="24.75" customHeight="1" x14ac:dyDescent="0.25">
      <c r="B25" s="377" t="s">
        <v>218</v>
      </c>
      <c r="C25" s="361"/>
      <c r="D25" s="361"/>
      <c r="E25" s="361"/>
    </row>
    <row r="26" spans="2:5" ht="15" customHeight="1" x14ac:dyDescent="0.25">
      <c r="B26" s="37" t="s">
        <v>84</v>
      </c>
      <c r="C26" s="37" t="s">
        <v>85</v>
      </c>
      <c r="D26" s="37" t="s">
        <v>8</v>
      </c>
    </row>
    <row r="27" spans="2:5" ht="18" customHeight="1" x14ac:dyDescent="0.25">
      <c r="B27" s="38" t="s">
        <v>106</v>
      </c>
      <c r="C27" s="39" t="s">
        <v>107</v>
      </c>
      <c r="D27" s="40" t="s">
        <v>108</v>
      </c>
    </row>
    <row r="28" spans="2:5" ht="18" customHeight="1" x14ac:dyDescent="0.25">
      <c r="B28" s="38" t="s">
        <v>140</v>
      </c>
      <c r="C28" s="39" t="s">
        <v>219</v>
      </c>
      <c r="D28" s="40" t="s">
        <v>142</v>
      </c>
    </row>
    <row r="29" spans="2:5" ht="18" customHeight="1" x14ac:dyDescent="0.25">
      <c r="B29" s="38" t="s">
        <v>145</v>
      </c>
      <c r="C29" s="39" t="s">
        <v>146</v>
      </c>
      <c r="D29" s="40" t="s">
        <v>147</v>
      </c>
    </row>
    <row r="30" spans="2:5" ht="18" customHeight="1" x14ac:dyDescent="0.25">
      <c r="B30" s="38" t="s">
        <v>130</v>
      </c>
      <c r="C30" s="39" t="s">
        <v>220</v>
      </c>
      <c r="D30" s="40" t="s">
        <v>221</v>
      </c>
    </row>
    <row r="31" spans="2:5" ht="18" customHeight="1" x14ac:dyDescent="0.25">
      <c r="B31" s="38" t="s">
        <v>158</v>
      </c>
      <c r="C31" s="39" t="s">
        <v>222</v>
      </c>
      <c r="D31" s="40" t="s">
        <v>160</v>
      </c>
    </row>
    <row r="32" spans="2:5" ht="18" customHeight="1" x14ac:dyDescent="0.25">
      <c r="B32" s="38" t="s">
        <v>112</v>
      </c>
      <c r="C32" s="39" t="s">
        <v>223</v>
      </c>
      <c r="D32" s="40" t="s">
        <v>114</v>
      </c>
    </row>
    <row r="33" spans="2:5" ht="18" customHeight="1" x14ac:dyDescent="0.25">
      <c r="B33" s="38" t="s">
        <v>118</v>
      </c>
      <c r="C33" s="39" t="s">
        <v>224</v>
      </c>
      <c r="D33" s="40" t="s">
        <v>120</v>
      </c>
    </row>
    <row r="34" spans="2:5" ht="18" customHeight="1" x14ac:dyDescent="0.25">
      <c r="B34" s="38" t="s">
        <v>163</v>
      </c>
      <c r="C34" s="39" t="s">
        <v>225</v>
      </c>
      <c r="D34" s="40" t="s">
        <v>226</v>
      </c>
    </row>
    <row r="35" spans="2:5" ht="18" customHeight="1" x14ac:dyDescent="0.25">
      <c r="B35" s="38" t="s">
        <v>166</v>
      </c>
      <c r="C35" s="39" t="s">
        <v>167</v>
      </c>
      <c r="D35" s="40" t="s">
        <v>168</v>
      </c>
    </row>
    <row r="38" spans="2:5" ht="15" customHeight="1" x14ac:dyDescent="0.25">
      <c r="B38" s="381" t="s">
        <v>227</v>
      </c>
      <c r="C38" s="361"/>
      <c r="D38" s="361"/>
      <c r="E38" s="361"/>
    </row>
    <row r="39" spans="2:5" ht="15" customHeight="1" x14ac:dyDescent="0.25">
      <c r="B39" s="378" t="s">
        <v>80</v>
      </c>
      <c r="C39" s="378"/>
      <c r="D39" s="378"/>
      <c r="E39" s="378"/>
    </row>
  </sheetData>
  <mergeCells count="9">
    <mergeCell ref="A1:E1"/>
    <mergeCell ref="B11:E11"/>
    <mergeCell ref="B25:E25"/>
    <mergeCell ref="B39:E39"/>
    <mergeCell ref="B17:E17"/>
    <mergeCell ref="B23:E23"/>
    <mergeCell ref="B4:E4"/>
    <mergeCell ref="A2:E2"/>
    <mergeCell ref="B38:E38"/>
  </mergeCells>
  <dataValidations count="1">
    <dataValidation type="list" allowBlank="1" showInputMessage="1" showErrorMessage="1" sqref="C7" xr:uid="{00000000-0002-0000-0100-000000000000}">
      <formula1>"S-Corporation,C-Corporation,LLC,Sole Proprietorship,Partnership"</formula1>
      <formula2>0</formula2>
    </dataValidation>
  </dataValidations>
  <pageMargins left="0.5" right="0.5" top="0.75" bottom="0.75" header="0.3" footer="0.3"/>
  <pageSetup fitToHeight="0" orientation="portrait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D79"/>
  <sheetViews>
    <sheetView zoomScaleNormal="100" workbookViewId="0">
      <pane ySplit="2" topLeftCell="A3" activePane="bottomLeft" state="frozen"/>
      <selection pane="bottomLeft" activeCell="C76" sqref="C76"/>
    </sheetView>
  </sheetViews>
  <sheetFormatPr defaultColWidth="8.7109375" defaultRowHeight="15" x14ac:dyDescent="0.25"/>
  <cols>
    <col min="1" max="1" width="3" customWidth="1"/>
    <col min="2" max="2" width="35" customWidth="1"/>
    <col min="3" max="3" width="55" customWidth="1"/>
    <col min="4" max="4" width="22" customWidth="1"/>
  </cols>
  <sheetData>
    <row r="1" spans="2:4" ht="23.25" customHeight="1" x14ac:dyDescent="0.35">
      <c r="B1" s="382" t="s">
        <v>228</v>
      </c>
      <c r="C1" s="361"/>
    </row>
    <row r="2" spans="2:4" ht="15" customHeight="1" x14ac:dyDescent="0.25">
      <c r="B2" s="387" t="s">
        <v>229</v>
      </c>
      <c r="C2" s="361"/>
    </row>
    <row r="4" spans="2:4" ht="15" customHeight="1" x14ac:dyDescent="0.25">
      <c r="B4" s="383" t="s">
        <v>230</v>
      </c>
      <c r="C4" s="361"/>
    </row>
    <row r="6" spans="2:4" ht="15" customHeight="1" x14ac:dyDescent="0.25">
      <c r="B6" s="384" t="s">
        <v>231</v>
      </c>
      <c r="C6" s="361"/>
    </row>
    <row r="7" spans="2:4" ht="15" customHeight="1" x14ac:dyDescent="0.25">
      <c r="B7" s="384" t="s">
        <v>232</v>
      </c>
      <c r="C7" s="361"/>
    </row>
    <row r="10" spans="2:4" ht="15" customHeight="1" x14ac:dyDescent="0.25">
      <c r="B10" s="383" t="s">
        <v>233</v>
      </c>
      <c r="C10" s="361"/>
    </row>
    <row r="11" spans="2:4" ht="15" customHeight="1" x14ac:dyDescent="0.25">
      <c r="B11" s="44" t="s">
        <v>84</v>
      </c>
      <c r="C11" s="44" t="s">
        <v>234</v>
      </c>
      <c r="D11" s="44" t="s">
        <v>235</v>
      </c>
    </row>
    <row r="12" spans="2:4" ht="45" customHeight="1" x14ac:dyDescent="0.25">
      <c r="B12" s="45" t="s">
        <v>106</v>
      </c>
      <c r="C12" s="46" t="s">
        <v>236</v>
      </c>
      <c r="D12" s="47" t="s">
        <v>237</v>
      </c>
    </row>
    <row r="13" spans="2:4" ht="45" customHeight="1" x14ac:dyDescent="0.25">
      <c r="B13" s="45" t="s">
        <v>140</v>
      </c>
      <c r="C13" s="46" t="s">
        <v>238</v>
      </c>
      <c r="D13" s="48" t="s">
        <v>239</v>
      </c>
    </row>
    <row r="14" spans="2:4" ht="45" customHeight="1" x14ac:dyDescent="0.25">
      <c r="B14" s="45" t="s">
        <v>240</v>
      </c>
      <c r="C14" s="46" t="s">
        <v>241</v>
      </c>
      <c r="D14" s="48" t="s">
        <v>242</v>
      </c>
    </row>
    <row r="15" spans="2:4" ht="45" customHeight="1" x14ac:dyDescent="0.25">
      <c r="B15" s="45" t="s">
        <v>243</v>
      </c>
      <c r="C15" s="46" t="s">
        <v>244</v>
      </c>
      <c r="D15" s="48" t="s">
        <v>245</v>
      </c>
    </row>
    <row r="16" spans="2:4" ht="45" customHeight="1" x14ac:dyDescent="0.25">
      <c r="B16" s="45" t="s">
        <v>158</v>
      </c>
      <c r="C16" s="46" t="s">
        <v>246</v>
      </c>
      <c r="D16" s="47" t="s">
        <v>247</v>
      </c>
    </row>
    <row r="17" spans="2:4" ht="45" customHeight="1" x14ac:dyDescent="0.25">
      <c r="B17" s="45" t="s">
        <v>112</v>
      </c>
      <c r="C17" s="46" t="s">
        <v>248</v>
      </c>
      <c r="D17" s="47" t="s">
        <v>249</v>
      </c>
    </row>
    <row r="18" spans="2:4" ht="45" customHeight="1" x14ac:dyDescent="0.25">
      <c r="B18" s="45" t="s">
        <v>118</v>
      </c>
      <c r="C18" s="46" t="s">
        <v>250</v>
      </c>
      <c r="D18" s="48" t="s">
        <v>251</v>
      </c>
    </row>
    <row r="19" spans="2:4" ht="45" customHeight="1" x14ac:dyDescent="0.25">
      <c r="B19" s="351" t="s">
        <v>166</v>
      </c>
      <c r="C19" s="352" t="s">
        <v>252</v>
      </c>
      <c r="D19" s="353" t="s">
        <v>253</v>
      </c>
    </row>
    <row r="20" spans="2:4" ht="45" customHeight="1" x14ac:dyDescent="0.25">
      <c r="B20" s="45" t="s">
        <v>135</v>
      </c>
      <c r="C20" s="46" t="s">
        <v>1324</v>
      </c>
      <c r="D20" s="354" t="s">
        <v>1325</v>
      </c>
    </row>
    <row r="21" spans="2:4" ht="45" customHeight="1" x14ac:dyDescent="0.25">
      <c r="B21" s="45" t="s">
        <v>123</v>
      </c>
      <c r="C21" s="46" t="s">
        <v>1326</v>
      </c>
      <c r="D21" s="355" t="s">
        <v>1327</v>
      </c>
    </row>
    <row r="22" spans="2:4" ht="45" customHeight="1" x14ac:dyDescent="0.25">
      <c r="B22" s="45" t="s">
        <v>150</v>
      </c>
      <c r="C22" s="46" t="s">
        <v>1328</v>
      </c>
      <c r="D22" s="356" t="s">
        <v>1329</v>
      </c>
    </row>
    <row r="23" spans="2:4" ht="45" customHeight="1" x14ac:dyDescent="0.25">
      <c r="B23" s="45" t="s">
        <v>155</v>
      </c>
      <c r="C23" s="46" t="s">
        <v>1330</v>
      </c>
      <c r="D23" s="356" t="s">
        <v>1331</v>
      </c>
    </row>
    <row r="24" spans="2:4" ht="45" customHeight="1" x14ac:dyDescent="0.25">
      <c r="B24" s="45" t="s">
        <v>163</v>
      </c>
      <c r="C24" s="46" t="s">
        <v>1332</v>
      </c>
      <c r="D24" s="357" t="s">
        <v>1333</v>
      </c>
    </row>
    <row r="25" spans="2:4" ht="45" customHeight="1" x14ac:dyDescent="0.25">
      <c r="B25" s="45" t="s">
        <v>169</v>
      </c>
      <c r="C25" s="46" t="s">
        <v>1334</v>
      </c>
      <c r="D25" s="358" t="s">
        <v>1335</v>
      </c>
    </row>
    <row r="28" spans="2:4" ht="15" customHeight="1" x14ac:dyDescent="0.25">
      <c r="B28" s="385" t="s">
        <v>254</v>
      </c>
      <c r="C28" s="361"/>
    </row>
    <row r="30" spans="2:4" ht="15" customHeight="1" x14ac:dyDescent="0.25">
      <c r="B30" s="43" t="s">
        <v>255</v>
      </c>
      <c r="C30" s="49" t="s">
        <v>256</v>
      </c>
    </row>
    <row r="31" spans="2:4" ht="15" customHeight="1" x14ac:dyDescent="0.25">
      <c r="B31" s="43" t="s">
        <v>257</v>
      </c>
      <c r="C31" s="49" t="s">
        <v>258</v>
      </c>
    </row>
    <row r="32" spans="2:4" ht="15" customHeight="1" x14ac:dyDescent="0.25">
      <c r="B32" s="43" t="s">
        <v>259</v>
      </c>
      <c r="C32" s="49" t="s">
        <v>260</v>
      </c>
    </row>
    <row r="33" spans="2:3" ht="15" customHeight="1" x14ac:dyDescent="0.25">
      <c r="B33" s="43" t="s">
        <v>261</v>
      </c>
      <c r="C33" s="49" t="s">
        <v>262</v>
      </c>
    </row>
    <row r="34" spans="2:3" ht="15" customHeight="1" x14ac:dyDescent="0.25">
      <c r="B34" s="43" t="s">
        <v>263</v>
      </c>
      <c r="C34" s="49" t="s">
        <v>264</v>
      </c>
    </row>
    <row r="35" spans="2:3" ht="15" customHeight="1" x14ac:dyDescent="0.25">
      <c r="B35" s="43" t="s">
        <v>265</v>
      </c>
      <c r="C35" s="49" t="s">
        <v>266</v>
      </c>
    </row>
    <row r="36" spans="2:3" ht="15" customHeight="1" x14ac:dyDescent="0.25">
      <c r="B36" s="43" t="s">
        <v>267</v>
      </c>
      <c r="C36" s="49" t="s">
        <v>268</v>
      </c>
    </row>
    <row r="37" spans="2:3" ht="15" customHeight="1" x14ac:dyDescent="0.25">
      <c r="B37" s="43" t="s">
        <v>269</v>
      </c>
      <c r="C37" s="49" t="s">
        <v>270</v>
      </c>
    </row>
    <row r="38" spans="2:3" ht="15" customHeight="1" x14ac:dyDescent="0.25">
      <c r="B38" s="43" t="s">
        <v>271</v>
      </c>
      <c r="C38" s="49" t="s">
        <v>272</v>
      </c>
    </row>
    <row r="39" spans="2:3" ht="15" customHeight="1" x14ac:dyDescent="0.25">
      <c r="B39" s="43" t="s">
        <v>273</v>
      </c>
      <c r="C39" s="49" t="s">
        <v>274</v>
      </c>
    </row>
    <row r="42" spans="2:3" ht="15" customHeight="1" x14ac:dyDescent="0.25">
      <c r="B42" s="386" t="s">
        <v>275</v>
      </c>
      <c r="C42" s="361"/>
    </row>
    <row r="44" spans="2:3" ht="15" customHeight="1" x14ac:dyDescent="0.25">
      <c r="B44" s="384" t="s">
        <v>276</v>
      </c>
      <c r="C44" s="361"/>
    </row>
    <row r="45" spans="2:3" ht="15" customHeight="1" x14ac:dyDescent="0.25">
      <c r="B45" s="384" t="s">
        <v>277</v>
      </c>
      <c r="C45" s="361"/>
    </row>
    <row r="46" spans="2:3" ht="15" customHeight="1" x14ac:dyDescent="0.25">
      <c r="B46" s="384" t="s">
        <v>278</v>
      </c>
      <c r="C46" s="361"/>
    </row>
    <row r="47" spans="2:3" ht="15" customHeight="1" x14ac:dyDescent="0.25">
      <c r="B47" s="384" t="s">
        <v>279</v>
      </c>
      <c r="C47" s="361"/>
    </row>
    <row r="48" spans="2:3" ht="15" customHeight="1" x14ac:dyDescent="0.25">
      <c r="B48" s="384" t="s">
        <v>280</v>
      </c>
      <c r="C48" s="361"/>
    </row>
    <row r="49" spans="2:4" ht="15" customHeight="1" x14ac:dyDescent="0.25">
      <c r="B49" s="384" t="s">
        <v>281</v>
      </c>
      <c r="C49" s="361"/>
    </row>
    <row r="50" spans="2:4" ht="15" customHeight="1" x14ac:dyDescent="0.25">
      <c r="B50" s="384" t="s">
        <v>282</v>
      </c>
      <c r="C50" s="361"/>
    </row>
    <row r="51" spans="2:4" ht="15" customHeight="1" x14ac:dyDescent="0.25">
      <c r="B51" s="384" t="s">
        <v>283</v>
      </c>
      <c r="C51" s="361"/>
    </row>
    <row r="52" spans="2:4" ht="15" customHeight="1" x14ac:dyDescent="0.25">
      <c r="B52" s="384" t="s">
        <v>284</v>
      </c>
      <c r="C52" s="361"/>
    </row>
    <row r="53" spans="2:4" ht="15" customHeight="1" x14ac:dyDescent="0.25">
      <c r="B53" s="384" t="s">
        <v>285</v>
      </c>
      <c r="C53" s="361"/>
    </row>
    <row r="55" spans="2:4" ht="15" customHeight="1" x14ac:dyDescent="0.25">
      <c r="B55" s="50" t="s">
        <v>286</v>
      </c>
    </row>
    <row r="56" spans="2:4" ht="15" customHeight="1" x14ac:dyDescent="0.25">
      <c r="B56" s="51"/>
    </row>
    <row r="57" spans="2:4" ht="15" customHeight="1" x14ac:dyDescent="0.25">
      <c r="B57" t="s">
        <v>287</v>
      </c>
    </row>
    <row r="58" spans="2:4" ht="15" customHeight="1" x14ac:dyDescent="0.25">
      <c r="B58" s="43"/>
    </row>
    <row r="59" spans="2:4" ht="15" customHeight="1" x14ac:dyDescent="0.25">
      <c r="B59" s="49" t="s">
        <v>288</v>
      </c>
      <c r="C59" s="49" t="s">
        <v>289</v>
      </c>
      <c r="D59" s="49" t="s">
        <v>290</v>
      </c>
    </row>
    <row r="60" spans="2:4" ht="15" customHeight="1" x14ac:dyDescent="0.25">
      <c r="B60" s="52" t="s">
        <v>291</v>
      </c>
      <c r="C60" s="43" t="s">
        <v>292</v>
      </c>
      <c r="D60" s="43" t="s">
        <v>293</v>
      </c>
    </row>
    <row r="61" spans="2:4" ht="15" customHeight="1" x14ac:dyDescent="0.25">
      <c r="B61" s="53" t="s">
        <v>294</v>
      </c>
      <c r="C61" s="43" t="s">
        <v>295</v>
      </c>
      <c r="D61" s="43" t="s">
        <v>296</v>
      </c>
    </row>
    <row r="62" spans="2:4" ht="15" customHeight="1" x14ac:dyDescent="0.25">
      <c r="B62" s="54" t="s">
        <v>297</v>
      </c>
      <c r="C62" s="43" t="s">
        <v>298</v>
      </c>
      <c r="D62" s="43" t="s">
        <v>163</v>
      </c>
    </row>
    <row r="63" spans="2:4" ht="15" customHeight="1" x14ac:dyDescent="0.25">
      <c r="B63" s="43"/>
    </row>
    <row r="65" spans="2:2" ht="15" customHeight="1" x14ac:dyDescent="0.25">
      <c r="B65" s="55" t="s">
        <v>299</v>
      </c>
    </row>
    <row r="66" spans="2:2" ht="15" customHeight="1" x14ac:dyDescent="0.25">
      <c r="B66" s="50"/>
    </row>
    <row r="67" spans="2:2" ht="15" customHeight="1" x14ac:dyDescent="0.25">
      <c r="B67" s="43" t="s">
        <v>300</v>
      </c>
    </row>
    <row r="68" spans="2:2" ht="15" customHeight="1" x14ac:dyDescent="0.25">
      <c r="B68" s="42" t="s">
        <v>301</v>
      </c>
    </row>
    <row r="69" spans="2:2" ht="15" customHeight="1" x14ac:dyDescent="0.25">
      <c r="B69" t="s">
        <v>302</v>
      </c>
    </row>
    <row r="71" spans="2:2" ht="15" customHeight="1" x14ac:dyDescent="0.25">
      <c r="B71" t="s">
        <v>303</v>
      </c>
    </row>
    <row r="72" spans="2:2" ht="15" customHeight="1" x14ac:dyDescent="0.25">
      <c r="B72" t="s">
        <v>304</v>
      </c>
    </row>
    <row r="75" spans="2:2" ht="15" customHeight="1" x14ac:dyDescent="0.25">
      <c r="B75" s="55" t="s">
        <v>305</v>
      </c>
    </row>
    <row r="76" spans="2:2" ht="15" customHeight="1" x14ac:dyDescent="0.25">
      <c r="B76" t="s">
        <v>306</v>
      </c>
    </row>
    <row r="77" spans="2:2" ht="15" customHeight="1" x14ac:dyDescent="0.25">
      <c r="B77" t="s">
        <v>307</v>
      </c>
    </row>
    <row r="78" spans="2:2" ht="15" customHeight="1" x14ac:dyDescent="0.25">
      <c r="B78" s="56" t="s">
        <v>79</v>
      </c>
    </row>
    <row r="79" spans="2:2" ht="15" customHeight="1" x14ac:dyDescent="0.25"/>
  </sheetData>
  <mergeCells count="18">
    <mergeCell ref="B2:C2"/>
    <mergeCell ref="B50:C50"/>
    <mergeCell ref="B1:C1"/>
    <mergeCell ref="B4:C4"/>
    <mergeCell ref="B49:C49"/>
    <mergeCell ref="B53:C53"/>
    <mergeCell ref="B7:C7"/>
    <mergeCell ref="B10:C10"/>
    <mergeCell ref="B48:C48"/>
    <mergeCell ref="B51:C51"/>
    <mergeCell ref="B52:C52"/>
    <mergeCell ref="B28:C28"/>
    <mergeCell ref="B42:C42"/>
    <mergeCell ref="B46:C46"/>
    <mergeCell ref="B47:C47"/>
    <mergeCell ref="B45:C45"/>
    <mergeCell ref="B6:C6"/>
    <mergeCell ref="B44:C44"/>
  </mergeCells>
  <pageMargins left="0.5" right="0.5" top="0.75" bottom="0.75" header="0.3" footer="0.3"/>
  <pageSetup fitToHeight="0" orientation="portrait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33"/>
  <sheetViews>
    <sheetView zoomScaleNormal="100" workbookViewId="0">
      <pane ySplit="3" topLeftCell="A4" activePane="bottomLeft" state="frozen"/>
      <selection pane="bottomLeft" activeCell="D118" sqref="D118"/>
    </sheetView>
  </sheetViews>
  <sheetFormatPr defaultColWidth="8.7109375" defaultRowHeight="15" x14ac:dyDescent="0.25"/>
  <cols>
    <col min="1" max="1" width="4" customWidth="1"/>
    <col min="2" max="2" width="55" customWidth="1"/>
    <col min="3" max="3" width="12" customWidth="1"/>
    <col min="4" max="4" width="30" customWidth="1"/>
    <col min="5" max="5" width="16" customWidth="1"/>
  </cols>
  <sheetData>
    <row r="1" spans="1:5" ht="23.25" customHeight="1" x14ac:dyDescent="0.35">
      <c r="A1" s="391" t="s">
        <v>100</v>
      </c>
      <c r="B1" s="361"/>
      <c r="C1" s="361"/>
      <c r="D1" s="361"/>
    </row>
    <row r="2" spans="1:5" ht="15" customHeight="1" x14ac:dyDescent="0.25">
      <c r="A2" s="388" t="s">
        <v>308</v>
      </c>
      <c r="B2" s="361"/>
      <c r="C2" s="361"/>
      <c r="D2" s="361"/>
    </row>
    <row r="3" spans="1:5" ht="15" customHeight="1" x14ac:dyDescent="0.25">
      <c r="A3" s="395" t="s">
        <v>309</v>
      </c>
      <c r="B3" s="361"/>
      <c r="C3" s="361"/>
      <c r="D3" s="361"/>
    </row>
    <row r="5" spans="1:5" ht="18" customHeight="1" x14ac:dyDescent="0.25">
      <c r="A5" s="396" t="s">
        <v>310</v>
      </c>
      <c r="B5" s="361"/>
      <c r="C5" s="361"/>
      <c r="D5" s="361"/>
    </row>
    <row r="6" spans="1:5" ht="15" customHeight="1" x14ac:dyDescent="0.25">
      <c r="A6" s="393" t="s">
        <v>311</v>
      </c>
      <c r="B6" s="361"/>
      <c r="C6" s="361"/>
      <c r="D6" s="361"/>
    </row>
    <row r="7" spans="1:5" ht="15" customHeight="1" x14ac:dyDescent="0.25">
      <c r="A7" s="58" t="s">
        <v>312</v>
      </c>
      <c r="B7" s="58" t="s">
        <v>313</v>
      </c>
      <c r="C7" s="58" t="s">
        <v>314</v>
      </c>
      <c r="D7" s="58" t="s">
        <v>44</v>
      </c>
      <c r="E7" s="59" t="s">
        <v>89</v>
      </c>
    </row>
    <row r="8" spans="1:5" ht="15" customHeight="1" x14ac:dyDescent="0.25">
      <c r="A8" s="60" t="s">
        <v>312</v>
      </c>
      <c r="B8" s="60"/>
      <c r="C8" s="60"/>
      <c r="D8" s="60"/>
    </row>
    <row r="9" spans="1:5" ht="15" customHeight="1" x14ac:dyDescent="0.25">
      <c r="A9" s="60" t="s">
        <v>312</v>
      </c>
      <c r="B9" s="60"/>
      <c r="C9" s="60"/>
      <c r="D9" s="60"/>
    </row>
    <row r="10" spans="1:5" ht="15" customHeight="1" x14ac:dyDescent="0.25">
      <c r="A10" s="60" t="s">
        <v>312</v>
      </c>
      <c r="B10" s="60"/>
      <c r="C10" s="60"/>
      <c r="D10" s="60"/>
    </row>
    <row r="11" spans="1:5" ht="15" customHeight="1" x14ac:dyDescent="0.25">
      <c r="A11" s="60" t="s">
        <v>312</v>
      </c>
      <c r="B11" s="60"/>
      <c r="C11" s="60"/>
      <c r="D11" s="60"/>
    </row>
    <row r="12" spans="1:5" ht="15" customHeight="1" x14ac:dyDescent="0.25">
      <c r="A12" s="60" t="s">
        <v>312</v>
      </c>
      <c r="B12" s="60"/>
      <c r="C12" s="60"/>
      <c r="D12" s="60"/>
    </row>
    <row r="13" spans="1:5" ht="15" customHeight="1" x14ac:dyDescent="0.25">
      <c r="A13" s="60" t="s">
        <v>312</v>
      </c>
      <c r="B13" s="60"/>
      <c r="C13" s="60"/>
      <c r="D13" s="60"/>
    </row>
    <row r="14" spans="1:5" ht="15" customHeight="1" x14ac:dyDescent="0.25">
      <c r="A14" s="60" t="s">
        <v>312</v>
      </c>
      <c r="B14" s="60"/>
      <c r="C14" s="60"/>
      <c r="D14" s="60"/>
    </row>
    <row r="15" spans="1:5" ht="15" customHeight="1" x14ac:dyDescent="0.25">
      <c r="A15" s="60" t="s">
        <v>312</v>
      </c>
      <c r="B15" s="60"/>
      <c r="C15" s="60"/>
      <c r="D15" s="60"/>
    </row>
    <row r="17" spans="1:5" ht="18" customHeight="1" x14ac:dyDescent="0.25">
      <c r="A17" s="397" t="s">
        <v>105</v>
      </c>
      <c r="B17" s="361"/>
      <c r="C17" s="361"/>
      <c r="D17" s="361"/>
    </row>
    <row r="18" spans="1:5" ht="15" customHeight="1" x14ac:dyDescent="0.25">
      <c r="A18" s="394" t="s">
        <v>315</v>
      </c>
      <c r="B18" s="361"/>
      <c r="C18" s="361"/>
      <c r="D18" s="361"/>
    </row>
    <row r="19" spans="1:5" ht="15" customHeight="1" x14ac:dyDescent="0.25">
      <c r="A19" s="58" t="s">
        <v>312</v>
      </c>
      <c r="B19" s="58" t="s">
        <v>313</v>
      </c>
      <c r="C19" s="58" t="s">
        <v>314</v>
      </c>
      <c r="D19" s="58" t="s">
        <v>44</v>
      </c>
      <c r="E19" s="61" t="s">
        <v>89</v>
      </c>
    </row>
    <row r="20" spans="1:5" ht="15" customHeight="1" x14ac:dyDescent="0.25">
      <c r="A20" s="389" t="s">
        <v>316</v>
      </c>
      <c r="B20" s="361"/>
      <c r="C20" s="361"/>
      <c r="D20" s="361"/>
    </row>
    <row r="21" spans="1:5" ht="15" customHeight="1" x14ac:dyDescent="0.25">
      <c r="A21" s="62" t="s">
        <v>312</v>
      </c>
      <c r="B21" s="63" t="s">
        <v>317</v>
      </c>
      <c r="C21" s="60"/>
      <c r="D21" s="60"/>
      <c r="E21" s="64"/>
    </row>
    <row r="22" spans="1:5" ht="15" customHeight="1" x14ac:dyDescent="0.25">
      <c r="A22" s="62" t="s">
        <v>312</v>
      </c>
      <c r="B22" s="63" t="s">
        <v>318</v>
      </c>
      <c r="C22" s="60"/>
      <c r="D22" s="60"/>
      <c r="E22" s="64"/>
    </row>
    <row r="23" spans="1:5" ht="15" customHeight="1" x14ac:dyDescent="0.25">
      <c r="A23" s="62" t="s">
        <v>312</v>
      </c>
      <c r="B23" s="63" t="s">
        <v>319</v>
      </c>
      <c r="C23" s="60"/>
      <c r="D23" s="60"/>
      <c r="E23" s="64"/>
    </row>
    <row r="24" spans="1:5" ht="15" customHeight="1" x14ac:dyDescent="0.25">
      <c r="A24" s="62" t="s">
        <v>312</v>
      </c>
      <c r="B24" s="63" t="s">
        <v>320</v>
      </c>
      <c r="C24" s="60"/>
      <c r="D24" s="60"/>
      <c r="E24" s="64"/>
    </row>
    <row r="25" spans="1:5" ht="15" customHeight="1" x14ac:dyDescent="0.25">
      <c r="A25" s="389" t="s">
        <v>321</v>
      </c>
      <c r="B25" s="361"/>
      <c r="C25" s="361"/>
      <c r="D25" s="361"/>
    </row>
    <row r="26" spans="1:5" ht="15" customHeight="1" x14ac:dyDescent="0.25">
      <c r="A26" s="62" t="s">
        <v>312</v>
      </c>
      <c r="B26" s="63" t="s">
        <v>322</v>
      </c>
      <c r="C26" s="60"/>
      <c r="D26" s="60"/>
      <c r="E26" s="64"/>
    </row>
    <row r="27" spans="1:5" ht="15" customHeight="1" x14ac:dyDescent="0.25">
      <c r="A27" s="62" t="s">
        <v>312</v>
      </c>
      <c r="B27" s="63" t="s">
        <v>323</v>
      </c>
      <c r="C27" s="60"/>
      <c r="D27" s="60"/>
      <c r="E27" s="64"/>
    </row>
    <row r="28" spans="1:5" ht="15" customHeight="1" x14ac:dyDescent="0.25">
      <c r="A28" s="62" t="s">
        <v>312</v>
      </c>
      <c r="B28" s="63" t="s">
        <v>324</v>
      </c>
      <c r="C28" s="60"/>
      <c r="D28" s="60"/>
      <c r="E28" s="64"/>
    </row>
    <row r="29" spans="1:5" ht="15" customHeight="1" x14ac:dyDescent="0.25">
      <c r="A29" s="389" t="s">
        <v>325</v>
      </c>
      <c r="B29" s="361"/>
      <c r="C29" s="361"/>
      <c r="D29" s="361"/>
    </row>
    <row r="30" spans="1:5" ht="15" customHeight="1" x14ac:dyDescent="0.25">
      <c r="A30" s="62" t="s">
        <v>312</v>
      </c>
      <c r="B30" s="63" t="s">
        <v>326</v>
      </c>
      <c r="C30" s="60"/>
      <c r="D30" s="60"/>
      <c r="E30" s="64"/>
    </row>
    <row r="31" spans="1:5" ht="15" customHeight="1" x14ac:dyDescent="0.25">
      <c r="A31" s="62" t="s">
        <v>312</v>
      </c>
      <c r="B31" s="63" t="s">
        <v>327</v>
      </c>
      <c r="C31" s="60"/>
      <c r="D31" s="60"/>
      <c r="E31" s="64"/>
    </row>
    <row r="32" spans="1:5" ht="15" customHeight="1" x14ac:dyDescent="0.25">
      <c r="A32" s="62" t="s">
        <v>312</v>
      </c>
      <c r="B32" s="63" t="s">
        <v>328</v>
      </c>
      <c r="C32" s="60"/>
      <c r="D32" s="60"/>
      <c r="E32" s="64"/>
    </row>
    <row r="33" spans="1:5" ht="15" customHeight="1" x14ac:dyDescent="0.25">
      <c r="A33" s="389" t="s">
        <v>329</v>
      </c>
      <c r="B33" s="361"/>
      <c r="C33" s="361"/>
      <c r="D33" s="361"/>
    </row>
    <row r="34" spans="1:5" ht="15" customHeight="1" x14ac:dyDescent="0.25">
      <c r="A34" s="62" t="s">
        <v>312</v>
      </c>
      <c r="B34" s="63" t="s">
        <v>330</v>
      </c>
      <c r="C34" s="60"/>
      <c r="D34" s="60"/>
      <c r="E34" s="64"/>
    </row>
    <row r="35" spans="1:5" ht="15" customHeight="1" x14ac:dyDescent="0.25">
      <c r="A35" s="62" t="s">
        <v>312</v>
      </c>
      <c r="B35" s="63" t="s">
        <v>331</v>
      </c>
      <c r="C35" s="60"/>
      <c r="D35" s="60"/>
      <c r="E35" s="64"/>
    </row>
    <row r="36" spans="1:5" ht="15" customHeight="1" x14ac:dyDescent="0.25">
      <c r="A36" s="62" t="s">
        <v>312</v>
      </c>
      <c r="B36" s="63" t="s">
        <v>332</v>
      </c>
      <c r="C36" s="60"/>
      <c r="D36" s="60"/>
      <c r="E36" s="64"/>
    </row>
    <row r="37" spans="1:5" ht="15" customHeight="1" x14ac:dyDescent="0.25">
      <c r="A37" s="62" t="s">
        <v>312</v>
      </c>
      <c r="B37" s="63" t="s">
        <v>333</v>
      </c>
      <c r="C37" s="60"/>
      <c r="D37" s="60"/>
      <c r="E37" s="64"/>
    </row>
    <row r="38" spans="1:5" ht="15" customHeight="1" x14ac:dyDescent="0.25">
      <c r="A38" s="389" t="s">
        <v>334</v>
      </c>
      <c r="B38" s="361"/>
      <c r="C38" s="361"/>
      <c r="D38" s="361"/>
    </row>
    <row r="39" spans="1:5" ht="15" customHeight="1" x14ac:dyDescent="0.25">
      <c r="A39" s="62" t="s">
        <v>312</v>
      </c>
      <c r="B39" s="63" t="s">
        <v>335</v>
      </c>
      <c r="C39" s="60"/>
      <c r="D39" s="60"/>
      <c r="E39" s="64"/>
    </row>
    <row r="40" spans="1:5" ht="15" customHeight="1" x14ac:dyDescent="0.25">
      <c r="A40" s="62" t="s">
        <v>312</v>
      </c>
      <c r="B40" s="63" t="s">
        <v>336</v>
      </c>
      <c r="C40" s="60"/>
      <c r="D40" s="60"/>
      <c r="E40" s="64"/>
    </row>
    <row r="41" spans="1:5" ht="15" customHeight="1" x14ac:dyDescent="0.25">
      <c r="A41" s="62" t="s">
        <v>312</v>
      </c>
      <c r="B41" s="63" t="s">
        <v>337</v>
      </c>
      <c r="C41" s="60"/>
      <c r="D41" s="60"/>
      <c r="E41" s="64"/>
    </row>
    <row r="42" spans="1:5" ht="15" customHeight="1" x14ac:dyDescent="0.25">
      <c r="A42" s="62" t="s">
        <v>312</v>
      </c>
      <c r="B42" s="63" t="s">
        <v>338</v>
      </c>
      <c r="C42" s="60"/>
      <c r="D42" s="60"/>
      <c r="E42" s="64"/>
    </row>
    <row r="43" spans="1:5" ht="15" customHeight="1" x14ac:dyDescent="0.25">
      <c r="A43" s="389" t="s">
        <v>339</v>
      </c>
      <c r="B43" s="361"/>
      <c r="C43" s="361"/>
      <c r="D43" s="361"/>
    </row>
    <row r="44" spans="1:5" ht="15" customHeight="1" x14ac:dyDescent="0.25">
      <c r="A44" s="62" t="s">
        <v>312</v>
      </c>
      <c r="B44" s="63" t="s">
        <v>340</v>
      </c>
      <c r="C44" s="60"/>
      <c r="D44" s="60"/>
      <c r="E44" s="64"/>
    </row>
    <row r="45" spans="1:5" ht="15" customHeight="1" x14ac:dyDescent="0.25">
      <c r="A45" s="62" t="s">
        <v>312</v>
      </c>
      <c r="B45" s="63" t="s">
        <v>341</v>
      </c>
      <c r="C45" s="60"/>
      <c r="D45" s="60"/>
      <c r="E45" s="64"/>
    </row>
    <row r="46" spans="1:5" ht="15" customHeight="1" x14ac:dyDescent="0.25">
      <c r="A46" s="62" t="s">
        <v>312</v>
      </c>
      <c r="B46" s="63" t="s">
        <v>342</v>
      </c>
      <c r="C46" s="60"/>
      <c r="D46" s="60"/>
      <c r="E46" s="64"/>
    </row>
    <row r="48" spans="1:5" ht="18" customHeight="1" x14ac:dyDescent="0.25">
      <c r="A48" s="400" t="s">
        <v>129</v>
      </c>
      <c r="B48" s="361"/>
      <c r="C48" s="361"/>
      <c r="D48" s="361"/>
    </row>
    <row r="49" spans="1:5" ht="15" customHeight="1" x14ac:dyDescent="0.25">
      <c r="A49" s="390" t="s">
        <v>343</v>
      </c>
      <c r="B49" s="361"/>
      <c r="C49" s="361"/>
      <c r="D49" s="361"/>
    </row>
    <row r="50" spans="1:5" ht="15" customHeight="1" x14ac:dyDescent="0.25">
      <c r="A50" s="58" t="s">
        <v>312</v>
      </c>
      <c r="B50" s="58" t="s">
        <v>313</v>
      </c>
      <c r="C50" s="58" t="s">
        <v>314</v>
      </c>
      <c r="D50" s="58" t="s">
        <v>44</v>
      </c>
      <c r="E50" s="61" t="s">
        <v>89</v>
      </c>
    </row>
    <row r="51" spans="1:5" ht="15" customHeight="1" x14ac:dyDescent="0.25">
      <c r="A51" s="389" t="s">
        <v>344</v>
      </c>
      <c r="B51" s="361"/>
      <c r="C51" s="361"/>
      <c r="D51" s="361"/>
    </row>
    <row r="52" spans="1:5" ht="15" customHeight="1" x14ac:dyDescent="0.25">
      <c r="A52" s="62" t="s">
        <v>312</v>
      </c>
      <c r="B52" s="63" t="s">
        <v>345</v>
      </c>
      <c r="C52" s="60"/>
      <c r="D52" s="60"/>
      <c r="E52" s="64"/>
    </row>
    <row r="53" spans="1:5" ht="15" customHeight="1" x14ac:dyDescent="0.25">
      <c r="A53" s="62" t="s">
        <v>312</v>
      </c>
      <c r="B53" s="63" t="s">
        <v>346</v>
      </c>
      <c r="C53" s="60"/>
      <c r="D53" s="60"/>
      <c r="E53" s="64"/>
    </row>
    <row r="54" spans="1:5" ht="15" customHeight="1" x14ac:dyDescent="0.25">
      <c r="A54" s="62" t="s">
        <v>312</v>
      </c>
      <c r="B54" s="63" t="s">
        <v>347</v>
      </c>
      <c r="C54" s="60"/>
      <c r="D54" s="60"/>
      <c r="E54" s="64"/>
    </row>
    <row r="55" spans="1:5" ht="15" customHeight="1" x14ac:dyDescent="0.25">
      <c r="A55" s="389" t="s">
        <v>348</v>
      </c>
      <c r="B55" s="361"/>
      <c r="C55" s="361"/>
      <c r="D55" s="361"/>
    </row>
    <row r="56" spans="1:5" ht="15" customHeight="1" x14ac:dyDescent="0.25">
      <c r="A56" s="62" t="s">
        <v>312</v>
      </c>
      <c r="B56" s="63" t="s">
        <v>349</v>
      </c>
      <c r="C56" s="60"/>
      <c r="D56" s="60"/>
      <c r="E56" s="64"/>
    </row>
    <row r="57" spans="1:5" ht="15" customHeight="1" x14ac:dyDescent="0.25">
      <c r="A57" s="62" t="s">
        <v>312</v>
      </c>
      <c r="B57" s="63" t="s">
        <v>350</v>
      </c>
      <c r="C57" s="60"/>
      <c r="D57" s="60"/>
      <c r="E57" s="64"/>
    </row>
    <row r="58" spans="1:5" ht="15" customHeight="1" x14ac:dyDescent="0.25">
      <c r="A58" s="62" t="s">
        <v>312</v>
      </c>
      <c r="B58" s="63" t="s">
        <v>351</v>
      </c>
      <c r="C58" s="60"/>
      <c r="D58" s="60"/>
      <c r="E58" s="64"/>
    </row>
    <row r="59" spans="1:5" ht="15" customHeight="1" x14ac:dyDescent="0.25">
      <c r="A59" s="389" t="s">
        <v>352</v>
      </c>
      <c r="B59" s="361"/>
      <c r="C59" s="361"/>
      <c r="D59" s="361"/>
    </row>
    <row r="60" spans="1:5" ht="15" customHeight="1" x14ac:dyDescent="0.25">
      <c r="A60" s="62" t="s">
        <v>312</v>
      </c>
      <c r="B60" s="63" t="s">
        <v>353</v>
      </c>
      <c r="C60" s="60"/>
      <c r="D60" s="60"/>
      <c r="E60" s="64"/>
    </row>
    <row r="61" spans="1:5" ht="15" customHeight="1" x14ac:dyDescent="0.25">
      <c r="A61" s="62" t="s">
        <v>312</v>
      </c>
      <c r="B61" s="63" t="s">
        <v>354</v>
      </c>
      <c r="C61" s="60"/>
      <c r="D61" s="60"/>
      <c r="E61" s="64"/>
    </row>
    <row r="62" spans="1:5" ht="15" customHeight="1" x14ac:dyDescent="0.25">
      <c r="A62" s="62" t="s">
        <v>312</v>
      </c>
      <c r="B62" s="63" t="s">
        <v>355</v>
      </c>
      <c r="C62" s="60"/>
      <c r="D62" s="60"/>
      <c r="E62" s="64"/>
    </row>
    <row r="63" spans="1:5" ht="15" customHeight="1" x14ac:dyDescent="0.25">
      <c r="A63" s="62" t="s">
        <v>312</v>
      </c>
      <c r="B63" s="63" t="s">
        <v>356</v>
      </c>
      <c r="C63" s="60"/>
      <c r="D63" s="60"/>
      <c r="E63" s="64"/>
    </row>
    <row r="64" spans="1:5" ht="15" customHeight="1" x14ac:dyDescent="0.25">
      <c r="A64" s="62" t="s">
        <v>312</v>
      </c>
      <c r="B64" s="63" t="s">
        <v>357</v>
      </c>
      <c r="C64" s="60"/>
      <c r="D64" s="60"/>
      <c r="E64" s="64"/>
    </row>
    <row r="65" spans="1:5" ht="15" customHeight="1" x14ac:dyDescent="0.25">
      <c r="A65" s="62" t="s">
        <v>312</v>
      </c>
      <c r="B65" s="63" t="s">
        <v>358</v>
      </c>
      <c r="C65" s="60"/>
      <c r="D65" s="60"/>
      <c r="E65" s="64"/>
    </row>
    <row r="66" spans="1:5" ht="15" customHeight="1" x14ac:dyDescent="0.25">
      <c r="A66" s="389" t="s">
        <v>359</v>
      </c>
      <c r="B66" s="361"/>
      <c r="C66" s="361"/>
      <c r="D66" s="361"/>
    </row>
    <row r="67" spans="1:5" ht="15" customHeight="1" x14ac:dyDescent="0.25">
      <c r="A67" s="62" t="s">
        <v>312</v>
      </c>
      <c r="B67" s="63" t="s">
        <v>360</v>
      </c>
      <c r="C67" s="60"/>
      <c r="D67" s="60"/>
      <c r="E67" s="64"/>
    </row>
    <row r="68" spans="1:5" ht="15" customHeight="1" x14ac:dyDescent="0.25">
      <c r="A68" s="62" t="s">
        <v>312</v>
      </c>
      <c r="B68" s="63" t="s">
        <v>361</v>
      </c>
      <c r="C68" s="60"/>
      <c r="D68" s="60"/>
      <c r="E68" s="64"/>
    </row>
    <row r="69" spans="1:5" ht="15" customHeight="1" x14ac:dyDescent="0.25">
      <c r="A69" s="62" t="s">
        <v>312</v>
      </c>
      <c r="B69" s="63" t="s">
        <v>362</v>
      </c>
      <c r="C69" s="60"/>
      <c r="D69" s="60"/>
      <c r="E69" s="64"/>
    </row>
    <row r="70" spans="1:5" ht="15" customHeight="1" x14ac:dyDescent="0.25">
      <c r="A70" s="62" t="s">
        <v>312</v>
      </c>
      <c r="B70" s="63" t="s">
        <v>363</v>
      </c>
      <c r="C70" s="60"/>
      <c r="D70" s="60"/>
      <c r="E70" s="64"/>
    </row>
    <row r="71" spans="1:5" ht="15" customHeight="1" x14ac:dyDescent="0.25">
      <c r="A71" s="62" t="s">
        <v>312</v>
      </c>
      <c r="B71" s="63" t="s">
        <v>364</v>
      </c>
      <c r="C71" s="60"/>
      <c r="D71" s="60"/>
      <c r="E71" s="64"/>
    </row>
    <row r="72" spans="1:5" ht="15" customHeight="1" x14ac:dyDescent="0.25">
      <c r="A72" s="389" t="s">
        <v>365</v>
      </c>
      <c r="B72" s="361"/>
      <c r="C72" s="361"/>
      <c r="D72" s="361"/>
    </row>
    <row r="73" spans="1:5" ht="15" customHeight="1" x14ac:dyDescent="0.25">
      <c r="A73" s="62" t="s">
        <v>312</v>
      </c>
      <c r="B73" s="63" t="s">
        <v>366</v>
      </c>
      <c r="C73" s="60"/>
      <c r="D73" s="60"/>
      <c r="E73" s="64"/>
    </row>
    <row r="74" spans="1:5" ht="15" customHeight="1" x14ac:dyDescent="0.25">
      <c r="A74" s="62" t="s">
        <v>312</v>
      </c>
      <c r="B74" s="63" t="s">
        <v>367</v>
      </c>
      <c r="C74" s="60"/>
      <c r="D74" s="60"/>
      <c r="E74" s="64"/>
    </row>
    <row r="75" spans="1:5" ht="15" customHeight="1" x14ac:dyDescent="0.25">
      <c r="A75" s="62" t="s">
        <v>312</v>
      </c>
      <c r="B75" s="63" t="s">
        <v>368</v>
      </c>
      <c r="C75" s="60"/>
      <c r="D75" s="60"/>
      <c r="E75" s="64"/>
    </row>
    <row r="76" spans="1:5" ht="15" customHeight="1" x14ac:dyDescent="0.25">
      <c r="A76" s="389" t="s">
        <v>369</v>
      </c>
      <c r="B76" s="361"/>
      <c r="C76" s="361"/>
      <c r="D76" s="361"/>
    </row>
    <row r="77" spans="1:5" ht="15" customHeight="1" x14ac:dyDescent="0.25">
      <c r="A77" s="62" t="s">
        <v>312</v>
      </c>
      <c r="B77" s="63" t="s">
        <v>370</v>
      </c>
      <c r="C77" s="60"/>
      <c r="D77" s="60"/>
      <c r="E77" s="64"/>
    </row>
    <row r="78" spans="1:5" ht="15" customHeight="1" x14ac:dyDescent="0.25">
      <c r="A78" s="62" t="s">
        <v>312</v>
      </c>
      <c r="B78" s="63" t="s">
        <v>371</v>
      </c>
      <c r="C78" s="60"/>
      <c r="D78" s="60"/>
      <c r="E78" s="64"/>
    </row>
    <row r="79" spans="1:5" ht="15" customHeight="1" x14ac:dyDescent="0.25">
      <c r="A79" s="62" t="s">
        <v>312</v>
      </c>
      <c r="B79" s="63" t="s">
        <v>372</v>
      </c>
      <c r="C79" s="60"/>
      <c r="D79" s="60"/>
      <c r="E79" s="64"/>
    </row>
    <row r="81" spans="1:5" ht="18" customHeight="1" x14ac:dyDescent="0.25">
      <c r="A81" s="399" t="s">
        <v>157</v>
      </c>
      <c r="B81" s="361"/>
      <c r="C81" s="361"/>
      <c r="D81" s="361"/>
    </row>
    <row r="82" spans="1:5" ht="15" customHeight="1" x14ac:dyDescent="0.25">
      <c r="A82" s="401" t="s">
        <v>373</v>
      </c>
      <c r="B82" s="361"/>
      <c r="C82" s="361"/>
      <c r="D82" s="361"/>
    </row>
    <row r="83" spans="1:5" ht="15" customHeight="1" x14ac:dyDescent="0.25">
      <c r="A83" s="58" t="s">
        <v>312</v>
      </c>
      <c r="B83" s="58" t="s">
        <v>313</v>
      </c>
      <c r="C83" s="58" t="s">
        <v>314</v>
      </c>
      <c r="D83" s="58" t="s">
        <v>44</v>
      </c>
      <c r="E83" s="61" t="s">
        <v>89</v>
      </c>
    </row>
    <row r="84" spans="1:5" ht="15" customHeight="1" x14ac:dyDescent="0.25">
      <c r="A84" s="389" t="s">
        <v>374</v>
      </c>
      <c r="B84" s="361"/>
      <c r="C84" s="361"/>
      <c r="D84" s="361"/>
    </row>
    <row r="85" spans="1:5" ht="15" customHeight="1" x14ac:dyDescent="0.25">
      <c r="A85" s="62" t="s">
        <v>312</v>
      </c>
      <c r="B85" s="63" t="s">
        <v>375</v>
      </c>
      <c r="C85" s="60"/>
      <c r="D85" s="60"/>
      <c r="E85" s="64"/>
    </row>
    <row r="86" spans="1:5" ht="15" customHeight="1" x14ac:dyDescent="0.25">
      <c r="A86" s="62" t="s">
        <v>312</v>
      </c>
      <c r="B86" s="63" t="s">
        <v>376</v>
      </c>
      <c r="C86" s="60"/>
      <c r="D86" s="60"/>
      <c r="E86" s="64"/>
    </row>
    <row r="87" spans="1:5" ht="15" customHeight="1" x14ac:dyDescent="0.25">
      <c r="A87" s="62" t="s">
        <v>312</v>
      </c>
      <c r="B87" s="63" t="s">
        <v>377</v>
      </c>
      <c r="C87" s="60"/>
      <c r="D87" s="60"/>
      <c r="E87" s="64"/>
    </row>
    <row r="88" spans="1:5" ht="15" customHeight="1" x14ac:dyDescent="0.25">
      <c r="A88" s="62" t="s">
        <v>312</v>
      </c>
      <c r="B88" s="63" t="s">
        <v>378</v>
      </c>
      <c r="C88" s="60"/>
      <c r="D88" s="60"/>
      <c r="E88" s="64"/>
    </row>
    <row r="89" spans="1:5" ht="15" customHeight="1" x14ac:dyDescent="0.25">
      <c r="A89" s="389" t="s">
        <v>379</v>
      </c>
      <c r="B89" s="361"/>
      <c r="C89" s="361"/>
      <c r="D89" s="361"/>
    </row>
    <row r="90" spans="1:5" ht="15" customHeight="1" x14ac:dyDescent="0.25">
      <c r="A90" s="62" t="s">
        <v>312</v>
      </c>
      <c r="B90" s="63" t="s">
        <v>380</v>
      </c>
      <c r="C90" s="60"/>
      <c r="D90" s="60"/>
      <c r="E90" s="64"/>
    </row>
    <row r="91" spans="1:5" ht="15" customHeight="1" x14ac:dyDescent="0.25">
      <c r="A91" s="62" t="s">
        <v>312</v>
      </c>
      <c r="B91" s="63" t="s">
        <v>381</v>
      </c>
      <c r="C91" s="60"/>
      <c r="D91" s="60"/>
      <c r="E91" s="64"/>
    </row>
    <row r="92" spans="1:5" ht="15" customHeight="1" x14ac:dyDescent="0.25">
      <c r="A92" s="62" t="s">
        <v>312</v>
      </c>
      <c r="B92" s="63" t="s">
        <v>382</v>
      </c>
      <c r="C92" s="60"/>
      <c r="D92" s="60"/>
      <c r="E92" s="64"/>
    </row>
    <row r="93" spans="1:5" ht="15" customHeight="1" x14ac:dyDescent="0.25">
      <c r="A93" s="389" t="s">
        <v>383</v>
      </c>
      <c r="B93" s="361"/>
      <c r="C93" s="361"/>
      <c r="D93" s="361"/>
    </row>
    <row r="94" spans="1:5" ht="15" customHeight="1" x14ac:dyDescent="0.25">
      <c r="A94" s="62" t="s">
        <v>312</v>
      </c>
      <c r="B94" s="63" t="s">
        <v>384</v>
      </c>
      <c r="C94" s="60"/>
      <c r="D94" s="60"/>
      <c r="E94" s="64"/>
    </row>
    <row r="95" spans="1:5" ht="15" customHeight="1" x14ac:dyDescent="0.25">
      <c r="A95" s="62" t="s">
        <v>312</v>
      </c>
      <c r="B95" s="63" t="s">
        <v>385</v>
      </c>
      <c r="C95" s="60"/>
      <c r="D95" s="60"/>
      <c r="E95" s="64"/>
    </row>
    <row r="96" spans="1:5" ht="15" customHeight="1" x14ac:dyDescent="0.25">
      <c r="A96" s="62" t="s">
        <v>312</v>
      </c>
      <c r="B96" s="63" t="s">
        <v>386</v>
      </c>
      <c r="C96" s="60"/>
      <c r="D96" s="60"/>
      <c r="E96" s="64"/>
    </row>
    <row r="97" spans="1:5" ht="15" customHeight="1" x14ac:dyDescent="0.25">
      <c r="A97" s="62" t="s">
        <v>312</v>
      </c>
      <c r="B97" s="63" t="s">
        <v>387</v>
      </c>
      <c r="C97" s="60"/>
      <c r="D97" s="60"/>
      <c r="E97" s="64"/>
    </row>
    <row r="98" spans="1:5" ht="15" customHeight="1" x14ac:dyDescent="0.25">
      <c r="A98" s="62" t="s">
        <v>312</v>
      </c>
      <c r="B98" s="63" t="s">
        <v>388</v>
      </c>
      <c r="C98" s="60"/>
      <c r="D98" s="60"/>
      <c r="E98" s="64"/>
    </row>
    <row r="99" spans="1:5" ht="15" customHeight="1" x14ac:dyDescent="0.25">
      <c r="A99" s="389" t="s">
        <v>389</v>
      </c>
      <c r="B99" s="361"/>
      <c r="C99" s="361"/>
      <c r="D99" s="361"/>
    </row>
    <row r="100" spans="1:5" ht="15" customHeight="1" x14ac:dyDescent="0.25">
      <c r="A100" s="62" t="s">
        <v>312</v>
      </c>
      <c r="B100" s="63" t="s">
        <v>390</v>
      </c>
      <c r="C100" s="60"/>
      <c r="D100" s="60"/>
      <c r="E100" s="64"/>
    </row>
    <row r="101" spans="1:5" ht="15" customHeight="1" x14ac:dyDescent="0.25">
      <c r="A101" s="62" t="s">
        <v>312</v>
      </c>
      <c r="B101" s="63" t="s">
        <v>391</v>
      </c>
      <c r="C101" s="60"/>
      <c r="D101" s="60"/>
      <c r="E101" s="64"/>
    </row>
    <row r="102" spans="1:5" ht="15" customHeight="1" x14ac:dyDescent="0.25">
      <c r="A102" s="62" t="s">
        <v>312</v>
      </c>
      <c r="B102" s="63" t="s">
        <v>392</v>
      </c>
      <c r="C102" s="60"/>
      <c r="D102" s="60"/>
      <c r="E102" s="64"/>
    </row>
    <row r="103" spans="1:5" ht="15" customHeight="1" x14ac:dyDescent="0.25">
      <c r="A103" s="62" t="s">
        <v>312</v>
      </c>
      <c r="B103" s="63" t="s">
        <v>393</v>
      </c>
      <c r="C103" s="60"/>
      <c r="D103" s="60"/>
      <c r="E103" s="64"/>
    </row>
    <row r="104" spans="1:5" ht="15" customHeight="1" x14ac:dyDescent="0.25">
      <c r="A104" s="389" t="s">
        <v>394</v>
      </c>
      <c r="B104" s="361"/>
      <c r="C104" s="361"/>
      <c r="D104" s="361"/>
    </row>
    <row r="105" spans="1:5" ht="15" customHeight="1" x14ac:dyDescent="0.25">
      <c r="A105" s="62" t="s">
        <v>312</v>
      </c>
      <c r="B105" s="63" t="s">
        <v>395</v>
      </c>
      <c r="C105" s="60"/>
      <c r="D105" s="60"/>
      <c r="E105" s="64"/>
    </row>
    <row r="106" spans="1:5" ht="15" customHeight="1" x14ac:dyDescent="0.25">
      <c r="A106" s="62" t="s">
        <v>312</v>
      </c>
      <c r="B106" s="63" t="s">
        <v>396</v>
      </c>
      <c r="C106" s="60"/>
      <c r="D106" s="60"/>
      <c r="E106" s="64"/>
    </row>
    <row r="107" spans="1:5" ht="15" customHeight="1" x14ac:dyDescent="0.25">
      <c r="A107" s="62" t="s">
        <v>312</v>
      </c>
      <c r="B107" s="63" t="s">
        <v>397</v>
      </c>
      <c r="C107" s="60"/>
      <c r="D107" s="60"/>
      <c r="E107" s="64"/>
    </row>
    <row r="108" spans="1:5" ht="15" customHeight="1" x14ac:dyDescent="0.25">
      <c r="A108" s="62" t="s">
        <v>312</v>
      </c>
      <c r="B108" s="63" t="s">
        <v>398</v>
      </c>
      <c r="C108" s="60"/>
      <c r="D108" s="60"/>
      <c r="E108" s="64"/>
    </row>
    <row r="109" spans="1:5" ht="15" customHeight="1" x14ac:dyDescent="0.25">
      <c r="A109" s="62" t="s">
        <v>312</v>
      </c>
      <c r="B109" s="63" t="s">
        <v>399</v>
      </c>
      <c r="C109" s="60"/>
      <c r="D109" s="60"/>
      <c r="E109" s="64"/>
    </row>
    <row r="110" spans="1:5" ht="15" customHeight="1" x14ac:dyDescent="0.25">
      <c r="A110" s="389" t="s">
        <v>400</v>
      </c>
      <c r="B110" s="361"/>
      <c r="C110" s="361"/>
      <c r="D110" s="361"/>
    </row>
    <row r="111" spans="1:5" ht="15" customHeight="1" x14ac:dyDescent="0.25">
      <c r="A111" s="62" t="s">
        <v>312</v>
      </c>
      <c r="B111" s="63" t="s">
        <v>401</v>
      </c>
      <c r="C111" s="60"/>
      <c r="D111" s="60"/>
      <c r="E111" s="64"/>
    </row>
    <row r="112" spans="1:5" ht="15" customHeight="1" x14ac:dyDescent="0.25">
      <c r="A112" s="62" t="s">
        <v>312</v>
      </c>
      <c r="B112" s="63" t="s">
        <v>402</v>
      </c>
      <c r="C112" s="60"/>
      <c r="D112" s="60"/>
      <c r="E112" s="64"/>
    </row>
    <row r="113" spans="1:5" ht="15" customHeight="1" x14ac:dyDescent="0.25">
      <c r="A113" s="62" t="s">
        <v>312</v>
      </c>
      <c r="B113" s="63" t="s">
        <v>403</v>
      </c>
      <c r="C113" s="60"/>
      <c r="D113" s="60"/>
      <c r="E113" s="64"/>
    </row>
    <row r="114" spans="1:5" ht="15" customHeight="1" x14ac:dyDescent="0.25">
      <c r="A114" s="62" t="s">
        <v>312</v>
      </c>
      <c r="B114" s="63" t="s">
        <v>404</v>
      </c>
      <c r="C114" s="60"/>
      <c r="D114" s="60"/>
      <c r="E114" s="64"/>
    </row>
    <row r="115" spans="1:5" ht="15" customHeight="1" x14ac:dyDescent="0.25">
      <c r="A115" s="62" t="s">
        <v>312</v>
      </c>
      <c r="B115" s="63" t="s">
        <v>405</v>
      </c>
      <c r="C115" s="60"/>
      <c r="D115" s="60"/>
      <c r="E115" s="64"/>
    </row>
    <row r="116" spans="1:5" ht="15" customHeight="1" x14ac:dyDescent="0.25">
      <c r="A116" s="389" t="s">
        <v>406</v>
      </c>
      <c r="B116" s="361"/>
      <c r="C116" s="361"/>
      <c r="D116" s="361"/>
    </row>
    <row r="117" spans="1:5" ht="15" customHeight="1" x14ac:dyDescent="0.25">
      <c r="A117" s="62" t="s">
        <v>312</v>
      </c>
      <c r="B117" s="63" t="s">
        <v>407</v>
      </c>
      <c r="C117" s="60"/>
      <c r="D117" s="60"/>
      <c r="E117" s="64"/>
    </row>
    <row r="118" spans="1:5" ht="15" customHeight="1" x14ac:dyDescent="0.25">
      <c r="A118" s="62" t="s">
        <v>312</v>
      </c>
      <c r="B118" s="63" t="s">
        <v>408</v>
      </c>
      <c r="C118" s="60"/>
      <c r="D118" s="60"/>
      <c r="E118" s="64"/>
    </row>
    <row r="119" spans="1:5" ht="15" customHeight="1" x14ac:dyDescent="0.25">
      <c r="A119" s="62" t="s">
        <v>312</v>
      </c>
      <c r="B119" s="63" t="s">
        <v>409</v>
      </c>
      <c r="C119" s="60"/>
      <c r="D119" s="60"/>
      <c r="E119" s="64"/>
    </row>
    <row r="120" spans="1:5" ht="15" customHeight="1" x14ac:dyDescent="0.25">
      <c r="A120" s="62" t="s">
        <v>312</v>
      </c>
      <c r="B120" s="63" t="s">
        <v>410</v>
      </c>
      <c r="C120" s="60"/>
      <c r="D120" s="60"/>
      <c r="E120" s="64"/>
    </row>
    <row r="121" spans="1:5" ht="15" customHeight="1" x14ac:dyDescent="0.25">
      <c r="A121" s="389" t="s">
        <v>411</v>
      </c>
      <c r="B121" s="361"/>
      <c r="C121" s="361"/>
      <c r="D121" s="361"/>
    </row>
    <row r="122" spans="1:5" ht="15" customHeight="1" x14ac:dyDescent="0.25">
      <c r="A122" s="62" t="s">
        <v>312</v>
      </c>
      <c r="B122" s="63" t="s">
        <v>412</v>
      </c>
      <c r="C122" s="60"/>
      <c r="D122" s="60"/>
      <c r="E122" s="64"/>
    </row>
    <row r="123" spans="1:5" ht="15" customHeight="1" x14ac:dyDescent="0.25">
      <c r="A123" s="62" t="s">
        <v>312</v>
      </c>
      <c r="B123" s="63" t="s">
        <v>413</v>
      </c>
      <c r="C123" s="60"/>
      <c r="D123" s="60"/>
      <c r="E123" s="64"/>
    </row>
    <row r="124" spans="1:5" ht="15" customHeight="1" x14ac:dyDescent="0.25">
      <c r="A124" s="62" t="s">
        <v>312</v>
      </c>
      <c r="B124" s="63" t="s">
        <v>414</v>
      </c>
      <c r="C124" s="60"/>
      <c r="D124" s="60"/>
      <c r="E124" s="64"/>
    </row>
    <row r="125" spans="1:5" ht="15" customHeight="1" x14ac:dyDescent="0.25">
      <c r="A125" s="389" t="s">
        <v>415</v>
      </c>
      <c r="B125" s="361"/>
      <c r="C125" s="361"/>
      <c r="D125" s="361"/>
    </row>
    <row r="126" spans="1:5" ht="15" customHeight="1" x14ac:dyDescent="0.25">
      <c r="A126" s="62" t="s">
        <v>312</v>
      </c>
      <c r="B126" s="63" t="s">
        <v>416</v>
      </c>
      <c r="C126" s="60"/>
      <c r="D126" s="60"/>
      <c r="E126" s="64"/>
    </row>
    <row r="127" spans="1:5" ht="15" customHeight="1" x14ac:dyDescent="0.25">
      <c r="A127" s="62" t="s">
        <v>312</v>
      </c>
      <c r="B127" s="63" t="s">
        <v>417</v>
      </c>
      <c r="C127" s="60"/>
      <c r="D127" s="60"/>
      <c r="E127" s="64"/>
    </row>
    <row r="128" spans="1:5" ht="15" customHeight="1" x14ac:dyDescent="0.25">
      <c r="A128" s="62" t="s">
        <v>312</v>
      </c>
      <c r="B128" s="63" t="s">
        <v>418</v>
      </c>
      <c r="C128" s="60"/>
      <c r="D128" s="60"/>
      <c r="E128" s="64"/>
    </row>
    <row r="131" spans="1:4" ht="15" customHeight="1" x14ac:dyDescent="0.25">
      <c r="A131" s="398" t="s">
        <v>419</v>
      </c>
      <c r="B131" s="361"/>
      <c r="C131" s="361"/>
      <c r="D131" s="361"/>
    </row>
    <row r="132" spans="1:4" ht="15" customHeight="1" x14ac:dyDescent="0.25">
      <c r="A132" s="392" t="s">
        <v>79</v>
      </c>
      <c r="B132" s="361"/>
      <c r="C132" s="361"/>
      <c r="D132" s="361"/>
    </row>
    <row r="133" spans="1:4" ht="15" customHeight="1" x14ac:dyDescent="0.25">
      <c r="B133" s="378" t="s">
        <v>80</v>
      </c>
      <c r="C133" s="361"/>
      <c r="D133" s="361"/>
    </row>
  </sheetData>
  <mergeCells count="35">
    <mergeCell ref="A131:D131"/>
    <mergeCell ref="A20:D20"/>
    <mergeCell ref="A38:D38"/>
    <mergeCell ref="A72:D72"/>
    <mergeCell ref="A29:D29"/>
    <mergeCell ref="A43:D43"/>
    <mergeCell ref="A81:D81"/>
    <mergeCell ref="A125:D125"/>
    <mergeCell ref="A121:D121"/>
    <mergeCell ref="A93:D93"/>
    <mergeCell ref="A48:D48"/>
    <mergeCell ref="A59:D59"/>
    <mergeCell ref="A82:D82"/>
    <mergeCell ref="B133:D133"/>
    <mergeCell ref="A1:D1"/>
    <mergeCell ref="A132:D132"/>
    <mergeCell ref="A110:D110"/>
    <mergeCell ref="A6:D6"/>
    <mergeCell ref="A25:D25"/>
    <mergeCell ref="A99:D99"/>
    <mergeCell ref="A84:D84"/>
    <mergeCell ref="A66:D66"/>
    <mergeCell ref="A18:D18"/>
    <mergeCell ref="A89:D89"/>
    <mergeCell ref="A3:D3"/>
    <mergeCell ref="A55:D55"/>
    <mergeCell ref="A104:D104"/>
    <mergeCell ref="A116:D116"/>
    <mergeCell ref="A5:D5"/>
    <mergeCell ref="A2:D2"/>
    <mergeCell ref="A33:D33"/>
    <mergeCell ref="A76:D76"/>
    <mergeCell ref="A51:D51"/>
    <mergeCell ref="A49:D49"/>
    <mergeCell ref="A17:D17"/>
  </mergeCells>
  <conditionalFormatting sqref="E19">
    <cfRule type="expression" dxfId="105" priority="2">
      <formula>LEFT(E19,1)="✓"</formula>
    </cfRule>
    <cfRule type="expression" dxfId="104" priority="3">
      <formula>LEFT(E19,1)="⏳"</formula>
    </cfRule>
    <cfRule type="expression" dxfId="103" priority="4">
      <formula>LEFT(E19,1)="—"</formula>
    </cfRule>
    <cfRule type="expression" dxfId="102" priority="5">
      <formula>LEFT(E19,1)="☐"</formula>
    </cfRule>
  </conditionalFormatting>
  <conditionalFormatting sqref="E21:E24">
    <cfRule type="expression" dxfId="101" priority="6">
      <formula>LEFT(E21,1)="✓"</formula>
    </cfRule>
    <cfRule type="expression" dxfId="100" priority="7">
      <formula>LEFT(E21,1)="⏳"</formula>
    </cfRule>
    <cfRule type="expression" dxfId="99" priority="8">
      <formula>LEFT(E21,1)="—"</formula>
    </cfRule>
    <cfRule type="expression" dxfId="98" priority="9">
      <formula>LEFT(E21,1)="☐"</formula>
    </cfRule>
  </conditionalFormatting>
  <conditionalFormatting sqref="E26:E28">
    <cfRule type="expression" dxfId="97" priority="10">
      <formula>LEFT(E26,1)="✓"</formula>
    </cfRule>
    <cfRule type="expression" dxfId="96" priority="11">
      <formula>LEFT(E26,1)="⏳"</formula>
    </cfRule>
    <cfRule type="expression" dxfId="95" priority="12">
      <formula>LEFT(E26,1)="—"</formula>
    </cfRule>
    <cfRule type="expression" dxfId="94" priority="13">
      <formula>LEFT(E26,1)="☐"</formula>
    </cfRule>
  </conditionalFormatting>
  <conditionalFormatting sqref="E30:E32">
    <cfRule type="expression" dxfId="93" priority="14">
      <formula>LEFT(E30,1)="✓"</formula>
    </cfRule>
    <cfRule type="expression" dxfId="92" priority="15">
      <formula>LEFT(E30,1)="⏳"</formula>
    </cfRule>
    <cfRule type="expression" dxfId="91" priority="16">
      <formula>LEFT(E30,1)="—"</formula>
    </cfRule>
    <cfRule type="expression" dxfId="90" priority="17">
      <formula>LEFT(E30,1)="☐"</formula>
    </cfRule>
  </conditionalFormatting>
  <conditionalFormatting sqref="E34:E37">
    <cfRule type="expression" dxfId="89" priority="18">
      <formula>LEFT(E34,1)="✓"</formula>
    </cfRule>
    <cfRule type="expression" dxfId="88" priority="19">
      <formula>LEFT(E34,1)="⏳"</formula>
    </cfRule>
    <cfRule type="expression" dxfId="87" priority="20">
      <formula>LEFT(E34,1)="—"</formula>
    </cfRule>
    <cfRule type="expression" dxfId="86" priority="21">
      <formula>LEFT(E34,1)="☐"</formula>
    </cfRule>
  </conditionalFormatting>
  <conditionalFormatting sqref="E39:E42">
    <cfRule type="expression" dxfId="85" priority="22">
      <formula>LEFT(E39,1)="✓"</formula>
    </cfRule>
    <cfRule type="expression" dxfId="84" priority="23">
      <formula>LEFT(E39,1)="⏳"</formula>
    </cfRule>
    <cfRule type="expression" dxfId="83" priority="24">
      <formula>LEFT(E39,1)="—"</formula>
    </cfRule>
    <cfRule type="expression" dxfId="82" priority="25">
      <formula>LEFT(E39,1)="☐"</formula>
    </cfRule>
  </conditionalFormatting>
  <conditionalFormatting sqref="E44:E46">
    <cfRule type="expression" dxfId="81" priority="26">
      <formula>LEFT(E44,1)="✓"</formula>
    </cfRule>
    <cfRule type="expression" dxfId="80" priority="27">
      <formula>LEFT(E44,1)="⏳"</formula>
    </cfRule>
    <cfRule type="expression" dxfId="79" priority="28">
      <formula>LEFT(E44,1)="—"</formula>
    </cfRule>
    <cfRule type="expression" dxfId="78" priority="29">
      <formula>LEFT(E44,1)="☐"</formula>
    </cfRule>
  </conditionalFormatting>
  <conditionalFormatting sqref="E50">
    <cfRule type="expression" dxfId="77" priority="30">
      <formula>LEFT(E50,1)="✓"</formula>
    </cfRule>
    <cfRule type="expression" dxfId="76" priority="31">
      <formula>LEFT(E50,1)="⏳"</formula>
    </cfRule>
    <cfRule type="expression" dxfId="75" priority="32">
      <formula>LEFT(E50,1)="—"</formula>
    </cfRule>
    <cfRule type="expression" dxfId="74" priority="33">
      <formula>LEFT(E50,1)="☐"</formula>
    </cfRule>
  </conditionalFormatting>
  <conditionalFormatting sqref="E52:E54">
    <cfRule type="expression" dxfId="73" priority="34">
      <formula>LEFT(E52,1)="✓"</formula>
    </cfRule>
    <cfRule type="expression" dxfId="72" priority="35">
      <formula>LEFT(E52,1)="⏳"</formula>
    </cfRule>
    <cfRule type="expression" dxfId="71" priority="36">
      <formula>LEFT(E52,1)="—"</formula>
    </cfRule>
    <cfRule type="expression" dxfId="70" priority="37">
      <formula>LEFT(E52,1)="☐"</formula>
    </cfRule>
  </conditionalFormatting>
  <conditionalFormatting sqref="E56:E58">
    <cfRule type="expression" dxfId="69" priority="38">
      <formula>LEFT(E56,1)="✓"</formula>
    </cfRule>
    <cfRule type="expression" dxfId="68" priority="39">
      <formula>LEFT(E56,1)="⏳"</formula>
    </cfRule>
    <cfRule type="expression" dxfId="67" priority="40">
      <formula>LEFT(E56,1)="—"</formula>
    </cfRule>
    <cfRule type="expression" dxfId="66" priority="41">
      <formula>LEFT(E56,1)="☐"</formula>
    </cfRule>
  </conditionalFormatting>
  <conditionalFormatting sqref="E60:E65">
    <cfRule type="expression" dxfId="65" priority="42">
      <formula>LEFT(E60,1)="✓"</formula>
    </cfRule>
    <cfRule type="expression" dxfId="64" priority="43">
      <formula>LEFT(E60,1)="⏳"</formula>
    </cfRule>
    <cfRule type="expression" dxfId="63" priority="44">
      <formula>LEFT(E60,1)="—"</formula>
    </cfRule>
    <cfRule type="expression" dxfId="62" priority="45">
      <formula>LEFT(E60,1)="☐"</formula>
    </cfRule>
  </conditionalFormatting>
  <conditionalFormatting sqref="E67:E71">
    <cfRule type="expression" dxfId="61" priority="46">
      <formula>LEFT(E67,1)="✓"</formula>
    </cfRule>
    <cfRule type="expression" dxfId="60" priority="47">
      <formula>LEFT(E67,1)="⏳"</formula>
    </cfRule>
    <cfRule type="expression" dxfId="59" priority="48">
      <formula>LEFT(E67,1)="—"</formula>
    </cfRule>
    <cfRule type="expression" dxfId="58" priority="49">
      <formula>LEFT(E67,1)="☐"</formula>
    </cfRule>
  </conditionalFormatting>
  <conditionalFormatting sqref="E73:E75">
    <cfRule type="expression" dxfId="57" priority="50">
      <formula>LEFT(E73,1)="✓"</formula>
    </cfRule>
    <cfRule type="expression" dxfId="56" priority="51">
      <formula>LEFT(E73,1)="⏳"</formula>
    </cfRule>
    <cfRule type="expression" dxfId="55" priority="52">
      <formula>LEFT(E73,1)="—"</formula>
    </cfRule>
    <cfRule type="expression" dxfId="54" priority="53">
      <formula>LEFT(E73,1)="☐"</formula>
    </cfRule>
  </conditionalFormatting>
  <conditionalFormatting sqref="E77:E79">
    <cfRule type="expression" dxfId="53" priority="54">
      <formula>LEFT(E77,1)="✓"</formula>
    </cfRule>
    <cfRule type="expression" dxfId="52" priority="55">
      <formula>LEFT(E77,1)="⏳"</formula>
    </cfRule>
    <cfRule type="expression" dxfId="51" priority="56">
      <formula>LEFT(E77,1)="—"</formula>
    </cfRule>
    <cfRule type="expression" dxfId="50" priority="57">
      <formula>LEFT(E77,1)="☐"</formula>
    </cfRule>
  </conditionalFormatting>
  <conditionalFormatting sqref="E83">
    <cfRule type="expression" dxfId="49" priority="58">
      <formula>LEFT(E83,1)="✓"</formula>
    </cfRule>
    <cfRule type="expression" dxfId="48" priority="59">
      <formula>LEFT(E83,1)="⏳"</formula>
    </cfRule>
    <cfRule type="expression" dxfId="47" priority="60">
      <formula>LEFT(E83,1)="—"</formula>
    </cfRule>
    <cfRule type="expression" dxfId="46" priority="61">
      <formula>LEFT(E83,1)="☐"</formula>
    </cfRule>
  </conditionalFormatting>
  <conditionalFormatting sqref="E85:E88">
    <cfRule type="expression" dxfId="45" priority="62">
      <formula>LEFT(E85,1)="✓"</formula>
    </cfRule>
    <cfRule type="expression" dxfId="44" priority="63">
      <formula>LEFT(E85,1)="⏳"</formula>
    </cfRule>
    <cfRule type="expression" dxfId="43" priority="64">
      <formula>LEFT(E85,1)="—"</formula>
    </cfRule>
    <cfRule type="expression" dxfId="42" priority="65">
      <formula>LEFT(E85,1)="☐"</formula>
    </cfRule>
  </conditionalFormatting>
  <conditionalFormatting sqref="E90:E92">
    <cfRule type="expression" dxfId="41" priority="66">
      <formula>LEFT(E90,1)="✓"</formula>
    </cfRule>
    <cfRule type="expression" dxfId="40" priority="67">
      <formula>LEFT(E90,1)="⏳"</formula>
    </cfRule>
    <cfRule type="expression" dxfId="39" priority="68">
      <formula>LEFT(E90,1)="—"</formula>
    </cfRule>
    <cfRule type="expression" dxfId="38" priority="69">
      <formula>LEFT(E90,1)="☐"</formula>
    </cfRule>
  </conditionalFormatting>
  <conditionalFormatting sqref="E94:E98">
    <cfRule type="expression" dxfId="37" priority="70">
      <formula>LEFT(E94,1)="✓"</formula>
    </cfRule>
    <cfRule type="expression" dxfId="36" priority="71">
      <formula>LEFT(E94,1)="⏳"</formula>
    </cfRule>
    <cfRule type="expression" dxfId="35" priority="72">
      <formula>LEFT(E94,1)="—"</formula>
    </cfRule>
    <cfRule type="expression" dxfId="34" priority="73">
      <formula>LEFT(E94,1)="☐"</formula>
    </cfRule>
  </conditionalFormatting>
  <conditionalFormatting sqref="E100:E103">
    <cfRule type="expression" dxfId="33" priority="74">
      <formula>LEFT(E100,1)="✓"</formula>
    </cfRule>
    <cfRule type="expression" dxfId="32" priority="75">
      <formula>LEFT(E100,1)="⏳"</formula>
    </cfRule>
    <cfRule type="expression" dxfId="31" priority="76">
      <formula>LEFT(E100,1)="—"</formula>
    </cfRule>
    <cfRule type="expression" dxfId="30" priority="77">
      <formula>LEFT(E100,1)="☐"</formula>
    </cfRule>
  </conditionalFormatting>
  <conditionalFormatting sqref="E105:E109">
    <cfRule type="expression" dxfId="29" priority="78">
      <formula>LEFT(E105,1)="✓"</formula>
    </cfRule>
    <cfRule type="expression" dxfId="28" priority="79">
      <formula>LEFT(E105,1)="⏳"</formula>
    </cfRule>
    <cfRule type="expression" dxfId="27" priority="80">
      <formula>LEFT(E105,1)="—"</formula>
    </cfRule>
    <cfRule type="expression" dxfId="26" priority="81">
      <formula>LEFT(E105,1)="☐"</formula>
    </cfRule>
  </conditionalFormatting>
  <conditionalFormatting sqref="E111:E115">
    <cfRule type="expression" dxfId="25" priority="82">
      <formula>LEFT(E111,1)="✓"</formula>
    </cfRule>
    <cfRule type="expression" dxfId="24" priority="83">
      <formula>LEFT(E111,1)="⏳"</formula>
    </cfRule>
    <cfRule type="expression" dxfId="23" priority="84">
      <formula>LEFT(E111,1)="—"</formula>
    </cfRule>
    <cfRule type="expression" dxfId="22" priority="85">
      <formula>LEFT(E111,1)="☐"</formula>
    </cfRule>
  </conditionalFormatting>
  <conditionalFormatting sqref="E117:E120">
    <cfRule type="expression" dxfId="21" priority="86">
      <formula>LEFT(E117,1)="✓"</formula>
    </cfRule>
    <cfRule type="expression" dxfId="20" priority="87">
      <formula>LEFT(E117,1)="⏳"</formula>
    </cfRule>
    <cfRule type="expression" dxfId="19" priority="88">
      <formula>LEFT(E117,1)="—"</formula>
    </cfRule>
    <cfRule type="expression" dxfId="18" priority="89">
      <formula>LEFT(E117,1)="☐"</formula>
    </cfRule>
  </conditionalFormatting>
  <conditionalFormatting sqref="E122:E124">
    <cfRule type="expression" dxfId="17" priority="90">
      <formula>LEFT(E122,1)="✓"</formula>
    </cfRule>
    <cfRule type="expression" dxfId="16" priority="91">
      <formula>LEFT(E122,1)="⏳"</formula>
    </cfRule>
    <cfRule type="expression" dxfId="15" priority="92">
      <formula>LEFT(E122,1)="—"</formula>
    </cfRule>
    <cfRule type="expression" dxfId="14" priority="93">
      <formula>LEFT(E122,1)="☐"</formula>
    </cfRule>
  </conditionalFormatting>
  <conditionalFormatting sqref="E126:E128">
    <cfRule type="expression" dxfId="13" priority="94">
      <formula>LEFT(E126,1)="✓"</formula>
    </cfRule>
    <cfRule type="expression" dxfId="12" priority="95">
      <formula>LEFT(E126,1)="⏳"</formula>
    </cfRule>
    <cfRule type="expression" dxfId="11" priority="96">
      <formula>LEFT(E126,1)="—"</formula>
    </cfRule>
    <cfRule type="expression" dxfId="10" priority="97">
      <formula>LEFT(E126,1)="☐"</formula>
    </cfRule>
  </conditionalFormatting>
  <dataValidations count="3">
    <dataValidation type="list" allowBlank="1" promptTitle="Status" prompt="Select document status" sqref="E19 E34 E39 E44 E50 E52 E56 E60 E68 E75 E85:E88 E90 E95 E100 E106 E111 E117 E123 E127" xr:uid="{00000000-0002-0000-0300-000000000000}">
      <formula1>"✓ Received,⏳ Pending,— N/A,☐ Needed"</formula1>
      <formula2>0</formula2>
    </dataValidation>
    <dataValidation type="list" allowBlank="1" showInputMessage="1" showErrorMessage="1" sqref="E8:E15 E33 E38 E43 E47:E48 E55 E59 E66 E72 E76 E80:E82 E84 E93 E99 E104 E110 E116 E121 E125" xr:uid="{00000000-0002-0000-0300-000001000000}">
      <formula1>"Not Started,In Progress,Complete,N/A"</formula1>
      <formula2>0</formula2>
    </dataValidation>
    <dataValidation type="list" allowBlank="1" promptTitle="Status" prompt="Select document status" sqref="E21:E24 E26:E28 E30:E32 E35:E37 E40:E42 E45:E46 E53:E54 E57:E58 E61:E65 E67 E69:E71 E73:E74 E77:E79 E83 E91:E92 E94 E96:E98 E101:E103 E105 E107:E109 E112:E115 E118:E120 E122 E124 E126 E128" xr:uid="{00000000-0002-0000-0300-000002000000}">
      <formula1>"Not Started,In Progress,Complete,N/A"</formula1>
      <formula2>0</formula2>
    </dataValidation>
  </dataValidations>
  <pageMargins left="0.5" right="0.5" top="0.75" bottom="0.75" header="0.3" footer="0.3"/>
  <pageSetup fitToHeight="0" orientation="portrait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5"/>
  <sheetViews>
    <sheetView zoomScaleNormal="100" workbookViewId="0">
      <pane ySplit="5" topLeftCell="A6" activePane="bottomLeft" state="frozen"/>
      <selection pane="bottomLeft" activeCell="F27" sqref="F27"/>
    </sheetView>
  </sheetViews>
  <sheetFormatPr defaultColWidth="8.7109375" defaultRowHeight="15" x14ac:dyDescent="0.25"/>
  <cols>
    <col min="1" max="1" width="12" customWidth="1"/>
    <col min="2" max="3" width="22" customWidth="1"/>
    <col min="4" max="4" width="25" customWidth="1"/>
    <col min="5" max="5" width="13.42578125" customWidth="1"/>
    <col min="6" max="6" width="10" customWidth="1"/>
    <col min="7" max="7" width="12" customWidth="1"/>
  </cols>
  <sheetData>
    <row r="1" spans="1:7" ht="23.25" customHeight="1" x14ac:dyDescent="0.35">
      <c r="A1" s="404" t="s">
        <v>420</v>
      </c>
      <c r="B1" s="361"/>
      <c r="C1" s="361"/>
      <c r="D1" s="361"/>
      <c r="E1" s="361"/>
      <c r="F1" s="361"/>
      <c r="G1" s="361"/>
    </row>
    <row r="2" spans="1:7" ht="15" customHeight="1" x14ac:dyDescent="0.25">
      <c r="A2" s="33" t="s">
        <v>421</v>
      </c>
    </row>
    <row r="3" spans="1:7" ht="15" customHeight="1" x14ac:dyDescent="0.25">
      <c r="A3" s="49" t="s">
        <v>422</v>
      </c>
      <c r="B3" s="65">
        <f>'Client Info'!C5</f>
        <v>0</v>
      </c>
      <c r="C3" s="49" t="s">
        <v>423</v>
      </c>
      <c r="D3" s="66"/>
      <c r="E3" s="49" t="s">
        <v>424</v>
      </c>
      <c r="F3" s="402"/>
      <c r="G3" s="403"/>
    </row>
    <row r="5" spans="1:7" ht="15" customHeight="1" x14ac:dyDescent="0.25">
      <c r="A5" s="67" t="s">
        <v>38</v>
      </c>
      <c r="B5" s="67" t="s">
        <v>425</v>
      </c>
      <c r="C5" s="67" t="s">
        <v>234</v>
      </c>
      <c r="D5" s="67" t="s">
        <v>426</v>
      </c>
      <c r="E5" s="67" t="s">
        <v>39</v>
      </c>
      <c r="F5" s="67" t="s">
        <v>427</v>
      </c>
      <c r="G5" s="67" t="s">
        <v>44</v>
      </c>
    </row>
    <row r="6" spans="1:7" ht="21.75" customHeight="1" x14ac:dyDescent="0.25">
      <c r="A6" s="68"/>
      <c r="B6" s="68"/>
      <c r="C6" s="68"/>
      <c r="D6" s="68"/>
      <c r="E6" s="303"/>
      <c r="F6" s="70"/>
      <c r="G6" s="68"/>
    </row>
    <row r="7" spans="1:7" ht="21.75" customHeight="1" x14ac:dyDescent="0.25">
      <c r="A7" s="68"/>
      <c r="B7" s="68"/>
      <c r="C7" s="68"/>
      <c r="D7" s="68"/>
      <c r="E7" s="303"/>
      <c r="F7" s="70"/>
      <c r="G7" s="68"/>
    </row>
    <row r="8" spans="1:7" ht="21.75" customHeight="1" x14ac:dyDescent="0.25">
      <c r="A8" s="68"/>
      <c r="B8" s="68"/>
      <c r="C8" s="68"/>
      <c r="D8" s="68"/>
      <c r="E8" s="303"/>
      <c r="F8" s="70"/>
      <c r="G8" s="68"/>
    </row>
    <row r="9" spans="1:7" ht="21.75" customHeight="1" x14ac:dyDescent="0.25">
      <c r="A9" s="68"/>
      <c r="B9" s="68"/>
      <c r="C9" s="68"/>
      <c r="D9" s="68"/>
      <c r="E9" s="303"/>
      <c r="F9" s="70"/>
      <c r="G9" s="68"/>
    </row>
    <row r="10" spans="1:7" ht="21.75" customHeight="1" x14ac:dyDescent="0.25">
      <c r="A10" s="68"/>
      <c r="B10" s="68"/>
      <c r="C10" s="68"/>
      <c r="D10" s="68"/>
      <c r="E10" s="303"/>
      <c r="F10" s="70"/>
      <c r="G10" s="68"/>
    </row>
    <row r="11" spans="1:7" ht="21.75" customHeight="1" x14ac:dyDescent="0.25">
      <c r="A11" s="68"/>
      <c r="B11" s="68"/>
      <c r="C11" s="68"/>
      <c r="D11" s="68"/>
      <c r="E11" s="303"/>
      <c r="F11" s="70"/>
      <c r="G11" s="68"/>
    </row>
    <row r="12" spans="1:7" ht="21.75" customHeight="1" x14ac:dyDescent="0.25">
      <c r="A12" s="68"/>
      <c r="B12" s="68"/>
      <c r="C12" s="68"/>
      <c r="D12" s="68"/>
      <c r="E12" s="303"/>
      <c r="F12" s="70"/>
      <c r="G12" s="68"/>
    </row>
    <row r="13" spans="1:7" ht="21.75" customHeight="1" x14ac:dyDescent="0.25">
      <c r="A13" s="68"/>
      <c r="B13" s="68"/>
      <c r="C13" s="68"/>
      <c r="D13" s="68"/>
      <c r="E13" s="303"/>
      <c r="F13" s="70"/>
      <c r="G13" s="68"/>
    </row>
    <row r="14" spans="1:7" ht="21.75" customHeight="1" x14ac:dyDescent="0.25">
      <c r="A14" s="68"/>
      <c r="B14" s="68"/>
      <c r="C14" s="68"/>
      <c r="D14" s="68"/>
      <c r="E14" s="303"/>
      <c r="F14" s="70"/>
      <c r="G14" s="68"/>
    </row>
    <row r="15" spans="1:7" ht="21.75" customHeight="1" x14ac:dyDescent="0.25">
      <c r="A15" s="68"/>
      <c r="B15" s="68"/>
      <c r="C15" s="68"/>
      <c r="D15" s="68"/>
      <c r="E15" s="303"/>
      <c r="F15" s="70"/>
      <c r="G15" s="68"/>
    </row>
    <row r="16" spans="1:7" ht="21.75" customHeight="1" x14ac:dyDescent="0.25">
      <c r="A16" s="68"/>
      <c r="B16" s="68"/>
      <c r="C16" s="68"/>
      <c r="D16" s="68"/>
      <c r="E16" s="303"/>
      <c r="F16" s="70"/>
      <c r="G16" s="68"/>
    </row>
    <row r="17" spans="1:7" ht="21.75" customHeight="1" x14ac:dyDescent="0.25">
      <c r="A17" s="68"/>
      <c r="B17" s="68"/>
      <c r="C17" s="68"/>
      <c r="D17" s="68"/>
      <c r="E17" s="303"/>
      <c r="F17" s="70"/>
      <c r="G17" s="68"/>
    </row>
    <row r="18" spans="1:7" ht="21.75" customHeight="1" x14ac:dyDescent="0.25">
      <c r="A18" s="68"/>
      <c r="B18" s="68"/>
      <c r="C18" s="68"/>
      <c r="D18" s="68"/>
      <c r="E18" s="303"/>
      <c r="F18" s="70"/>
      <c r="G18" s="68"/>
    </row>
    <row r="19" spans="1:7" ht="21.75" customHeight="1" x14ac:dyDescent="0.25">
      <c r="A19" s="68"/>
      <c r="B19" s="68"/>
      <c r="C19" s="68"/>
      <c r="D19" s="68"/>
      <c r="E19" s="303"/>
      <c r="F19" s="70"/>
      <c r="G19" s="68"/>
    </row>
    <row r="20" spans="1:7" ht="21.75" customHeight="1" x14ac:dyDescent="0.25">
      <c r="A20" s="68"/>
      <c r="B20" s="68"/>
      <c r="C20" s="68"/>
      <c r="D20" s="68"/>
      <c r="E20" s="303"/>
      <c r="F20" s="70"/>
      <c r="G20" s="68"/>
    </row>
    <row r="21" spans="1:7" ht="21.75" customHeight="1" x14ac:dyDescent="0.25">
      <c r="A21" s="68"/>
      <c r="B21" s="68"/>
      <c r="C21" s="68"/>
      <c r="D21" s="68"/>
      <c r="E21" s="303"/>
      <c r="F21" s="70"/>
      <c r="G21" s="68"/>
    </row>
    <row r="22" spans="1:7" ht="21.75" customHeight="1" x14ac:dyDescent="0.25">
      <c r="A22" s="68"/>
      <c r="B22" s="68"/>
      <c r="C22" s="68"/>
      <c r="D22" s="68"/>
      <c r="E22" s="303"/>
      <c r="F22" s="70"/>
      <c r="G22" s="68"/>
    </row>
    <row r="23" spans="1:7" ht="21.75" customHeight="1" x14ac:dyDescent="0.25">
      <c r="A23" s="68"/>
      <c r="B23" s="68"/>
      <c r="C23" s="68"/>
      <c r="D23" s="68"/>
      <c r="E23" s="303"/>
      <c r="F23" s="70"/>
      <c r="G23" s="68"/>
    </row>
    <row r="24" spans="1:7" ht="21.75" customHeight="1" x14ac:dyDescent="0.25">
      <c r="A24" s="68"/>
      <c r="B24" s="68"/>
      <c r="C24" s="68"/>
      <c r="D24" s="68"/>
      <c r="E24" s="303"/>
      <c r="F24" s="70"/>
      <c r="G24" s="68"/>
    </row>
    <row r="25" spans="1:7" ht="21.75" customHeight="1" x14ac:dyDescent="0.25">
      <c r="A25" s="68"/>
      <c r="B25" s="68"/>
      <c r="C25" s="68"/>
      <c r="D25" s="68"/>
      <c r="E25" s="303"/>
      <c r="F25" s="70"/>
      <c r="G25" s="68"/>
    </row>
    <row r="26" spans="1:7" ht="21.75" customHeight="1" x14ac:dyDescent="0.25">
      <c r="A26" s="68"/>
      <c r="B26" s="68"/>
      <c r="C26" s="68"/>
      <c r="D26" s="68"/>
      <c r="E26" s="303"/>
      <c r="F26" s="70"/>
      <c r="G26" s="68"/>
    </row>
    <row r="27" spans="1:7" ht="21.75" customHeight="1" x14ac:dyDescent="0.25">
      <c r="A27" s="68"/>
      <c r="B27" s="68"/>
      <c r="C27" s="68"/>
      <c r="D27" s="68"/>
      <c r="E27" s="303"/>
      <c r="F27" s="70"/>
      <c r="G27" s="68"/>
    </row>
    <row r="28" spans="1:7" ht="21.75" customHeight="1" x14ac:dyDescent="0.25">
      <c r="A28" s="68"/>
      <c r="B28" s="68"/>
      <c r="C28" s="68"/>
      <c r="D28" s="68"/>
      <c r="E28" s="303"/>
      <c r="F28" s="70"/>
      <c r="G28" s="68"/>
    </row>
    <row r="29" spans="1:7" ht="21.75" customHeight="1" x14ac:dyDescent="0.25">
      <c r="A29" s="68"/>
      <c r="B29" s="68"/>
      <c r="C29" s="68"/>
      <c r="D29" s="68"/>
      <c r="E29" s="303"/>
      <c r="F29" s="70"/>
      <c r="G29" s="68"/>
    </row>
    <row r="30" spans="1:7" ht="21.75" customHeight="1" x14ac:dyDescent="0.25">
      <c r="A30" s="68"/>
      <c r="B30" s="68"/>
      <c r="C30" s="68"/>
      <c r="D30" s="68"/>
      <c r="E30" s="303"/>
      <c r="F30" s="70"/>
      <c r="G30" s="68"/>
    </row>
    <row r="31" spans="1:7" ht="21.75" customHeight="1" x14ac:dyDescent="0.25">
      <c r="A31" s="147"/>
      <c r="B31" s="147"/>
      <c r="C31" s="147"/>
      <c r="D31" s="147"/>
      <c r="E31" s="349"/>
      <c r="F31" s="350"/>
      <c r="G31" s="147"/>
    </row>
    <row r="32" spans="1:7" ht="21.75" customHeight="1" x14ac:dyDescent="0.25">
      <c r="A32" s="147"/>
      <c r="B32" s="147"/>
      <c r="C32" s="147"/>
      <c r="D32" s="147"/>
      <c r="E32" s="349"/>
      <c r="F32" s="350"/>
      <c r="G32" s="147"/>
    </row>
    <row r="33" spans="1:7" ht="21.75" customHeight="1" x14ac:dyDescent="0.25">
      <c r="A33" s="147"/>
      <c r="B33" s="147"/>
      <c r="C33" s="147"/>
      <c r="D33" s="147"/>
      <c r="E33" s="349"/>
      <c r="F33" s="350"/>
      <c r="G33" s="147"/>
    </row>
    <row r="34" spans="1:7" ht="21.75" customHeight="1" x14ac:dyDescent="0.25">
      <c r="A34" s="147"/>
      <c r="B34" s="147"/>
      <c r="C34" s="147"/>
      <c r="D34" s="147"/>
      <c r="E34" s="349"/>
      <c r="F34" s="350"/>
      <c r="G34" s="147"/>
    </row>
    <row r="35" spans="1:7" ht="21.75" customHeight="1" x14ac:dyDescent="0.25">
      <c r="A35" s="147"/>
      <c r="B35" s="147"/>
      <c r="C35" s="147"/>
      <c r="D35" s="147"/>
      <c r="E35" s="349"/>
      <c r="F35" s="350"/>
      <c r="G35" s="147"/>
    </row>
    <row r="36" spans="1:7" ht="21.75" customHeight="1" x14ac:dyDescent="0.25">
      <c r="A36" s="147"/>
      <c r="B36" s="147"/>
      <c r="C36" s="147"/>
      <c r="D36" s="147"/>
      <c r="E36" s="349"/>
      <c r="F36" s="350"/>
      <c r="G36" s="147"/>
    </row>
    <row r="37" spans="1:7" ht="21.75" customHeight="1" x14ac:dyDescent="0.25">
      <c r="A37" s="147"/>
      <c r="B37" s="147"/>
      <c r="C37" s="147"/>
      <c r="D37" s="147"/>
      <c r="E37" s="349"/>
      <c r="F37" s="350"/>
      <c r="G37" s="147"/>
    </row>
    <row r="38" spans="1:7" ht="21.75" customHeight="1" x14ac:dyDescent="0.25">
      <c r="A38" s="147"/>
      <c r="B38" s="147"/>
      <c r="C38" s="147"/>
      <c r="D38" s="147"/>
      <c r="E38" s="349"/>
      <c r="F38" s="350"/>
      <c r="G38" s="147"/>
    </row>
    <row r="39" spans="1:7" ht="21.75" customHeight="1" x14ac:dyDescent="0.25">
      <c r="A39" s="147"/>
      <c r="B39" s="147"/>
      <c r="C39" s="147"/>
      <c r="D39" s="147"/>
      <c r="E39" s="349"/>
      <c r="F39" s="350"/>
      <c r="G39" s="147"/>
    </row>
    <row r="40" spans="1:7" ht="21.75" customHeight="1" x14ac:dyDescent="0.25">
      <c r="A40" s="147"/>
      <c r="B40" s="147"/>
      <c r="C40" s="147"/>
      <c r="D40" s="147"/>
      <c r="E40" s="349"/>
      <c r="F40" s="350"/>
      <c r="G40" s="147"/>
    </row>
    <row r="41" spans="1:7" ht="21.75" customHeight="1" x14ac:dyDescent="0.25">
      <c r="A41" s="147"/>
      <c r="B41" s="147"/>
      <c r="C41" s="147"/>
      <c r="D41" s="147"/>
      <c r="E41" s="349"/>
      <c r="F41" s="350"/>
      <c r="G41" s="147"/>
    </row>
    <row r="42" spans="1:7" ht="21.75" customHeight="1" x14ac:dyDescent="0.25">
      <c r="A42" s="147"/>
      <c r="B42" s="147"/>
      <c r="C42" s="147"/>
      <c r="D42" s="147"/>
      <c r="E42" s="349"/>
      <c r="F42" s="350"/>
      <c r="G42" s="147"/>
    </row>
    <row r="43" spans="1:7" ht="21.75" customHeight="1" x14ac:dyDescent="0.25">
      <c r="A43" s="147"/>
      <c r="B43" s="147"/>
      <c r="C43" s="147"/>
      <c r="D43" s="147"/>
      <c r="E43" s="349"/>
      <c r="F43" s="350"/>
      <c r="G43" s="147"/>
    </row>
    <row r="44" spans="1:7" ht="21.75" customHeight="1" x14ac:dyDescent="0.25">
      <c r="A44" s="147"/>
      <c r="B44" s="147"/>
      <c r="C44" s="147"/>
      <c r="D44" s="147"/>
      <c r="E44" s="349"/>
      <c r="F44" s="350"/>
      <c r="G44" s="147"/>
    </row>
    <row r="45" spans="1:7" ht="21.75" customHeight="1" x14ac:dyDescent="0.25">
      <c r="A45" s="147"/>
      <c r="B45" s="147"/>
      <c r="C45" s="147"/>
      <c r="D45" s="147"/>
      <c r="E45" s="349"/>
      <c r="F45" s="350"/>
      <c r="G45" s="147"/>
    </row>
    <row r="46" spans="1:7" ht="21.75" customHeight="1" x14ac:dyDescent="0.25">
      <c r="A46" s="147"/>
      <c r="B46" s="147"/>
      <c r="C46" s="147"/>
      <c r="D46" s="147"/>
      <c r="E46" s="349"/>
      <c r="F46" s="350"/>
      <c r="G46" s="147"/>
    </row>
    <row r="47" spans="1:7" ht="21.75" customHeight="1" x14ac:dyDescent="0.25">
      <c r="A47" s="147"/>
      <c r="B47" s="147"/>
      <c r="C47" s="147"/>
      <c r="D47" s="147"/>
      <c r="E47" s="349"/>
      <c r="F47" s="350"/>
      <c r="G47" s="147"/>
    </row>
    <row r="48" spans="1:7" ht="21.75" customHeight="1" x14ac:dyDescent="0.25">
      <c r="A48" s="147"/>
      <c r="B48" s="147"/>
      <c r="C48" s="147"/>
      <c r="D48" s="147"/>
      <c r="E48" s="349"/>
      <c r="F48" s="350"/>
      <c r="G48" s="147"/>
    </row>
    <row r="49" spans="1:7" ht="21.75" customHeight="1" x14ac:dyDescent="0.25">
      <c r="A49" s="147"/>
      <c r="B49" s="147"/>
      <c r="C49" s="147"/>
      <c r="D49" s="147"/>
      <c r="E49" s="349"/>
      <c r="F49" s="350"/>
      <c r="G49" s="147"/>
    </row>
    <row r="50" spans="1:7" ht="21.75" customHeight="1" x14ac:dyDescent="0.25">
      <c r="A50" s="147"/>
      <c r="B50" s="147"/>
      <c r="C50" s="147"/>
      <c r="D50" s="147"/>
      <c r="E50" s="349"/>
      <c r="F50" s="350"/>
      <c r="G50" s="147"/>
    </row>
    <row r="51" spans="1:7" x14ac:dyDescent="0.25">
      <c r="E51" s="304"/>
    </row>
    <row r="52" spans="1:7" ht="15" customHeight="1" x14ac:dyDescent="0.25">
      <c r="A52" s="407" t="s">
        <v>428</v>
      </c>
      <c r="B52" s="408"/>
      <c r="C52" s="408"/>
      <c r="D52" s="403"/>
      <c r="E52" s="305">
        <f>SUM(E6:E50)</f>
        <v>0</v>
      </c>
      <c r="F52" s="73"/>
      <c r="G52" s="73"/>
    </row>
    <row r="54" spans="1:7" ht="15" customHeight="1" x14ac:dyDescent="0.25">
      <c r="A54" s="409" t="s">
        <v>429</v>
      </c>
      <c r="B54" s="361"/>
    </row>
    <row r="55" spans="1:7" ht="15" customHeight="1" x14ac:dyDescent="0.25">
      <c r="A55" s="43" t="s">
        <v>430</v>
      </c>
      <c r="B55" s="74">
        <f t="shared" ref="B55:B66" si="0">SUMIF($B$6:$B$50,A55,$E$6:$E$50)</f>
        <v>0</v>
      </c>
      <c r="D55" s="43" t="s">
        <v>431</v>
      </c>
      <c r="E55" s="74">
        <f t="shared" ref="E55:E66" si="1">SUMIF($B$6:$B$50,D55,$E$6:$E$50)</f>
        <v>0</v>
      </c>
    </row>
    <row r="56" spans="1:7" ht="15" customHeight="1" x14ac:dyDescent="0.25">
      <c r="A56" s="43" t="s">
        <v>432</v>
      </c>
      <c r="B56" s="74">
        <f t="shared" si="0"/>
        <v>0</v>
      </c>
      <c r="D56" s="43" t="s">
        <v>433</v>
      </c>
      <c r="E56" s="74">
        <f t="shared" si="1"/>
        <v>0</v>
      </c>
    </row>
    <row r="57" spans="1:7" ht="15" customHeight="1" x14ac:dyDescent="0.25">
      <c r="A57" s="43" t="s">
        <v>434</v>
      </c>
      <c r="B57" s="74">
        <f t="shared" si="0"/>
        <v>0</v>
      </c>
      <c r="D57" s="307" t="s">
        <v>435</v>
      </c>
      <c r="E57" s="74">
        <f t="shared" si="1"/>
        <v>0</v>
      </c>
    </row>
    <row r="58" spans="1:7" ht="15" customHeight="1" x14ac:dyDescent="0.25">
      <c r="A58" s="43" t="s">
        <v>436</v>
      </c>
      <c r="B58" s="74">
        <f t="shared" si="0"/>
        <v>0</v>
      </c>
      <c r="D58" s="307" t="s">
        <v>437</v>
      </c>
      <c r="E58" s="74">
        <f t="shared" si="1"/>
        <v>0</v>
      </c>
    </row>
    <row r="59" spans="1:7" ht="15" customHeight="1" x14ac:dyDescent="0.25">
      <c r="A59" s="43" t="s">
        <v>438</v>
      </c>
      <c r="B59" s="74">
        <f t="shared" si="0"/>
        <v>0</v>
      </c>
      <c r="D59" s="307" t="s">
        <v>439</v>
      </c>
      <c r="E59" s="74">
        <f t="shared" si="1"/>
        <v>0</v>
      </c>
    </row>
    <row r="60" spans="1:7" ht="15" customHeight="1" x14ac:dyDescent="0.25">
      <c r="A60" s="43" t="s">
        <v>440</v>
      </c>
      <c r="B60" s="74">
        <f t="shared" si="0"/>
        <v>0</v>
      </c>
      <c r="D60" s="307" t="s">
        <v>441</v>
      </c>
      <c r="E60" s="74">
        <f t="shared" si="1"/>
        <v>0</v>
      </c>
    </row>
    <row r="61" spans="1:7" ht="15" customHeight="1" x14ac:dyDescent="0.25">
      <c r="A61" s="43" t="s">
        <v>442</v>
      </c>
      <c r="B61" s="74">
        <f t="shared" si="0"/>
        <v>0</v>
      </c>
      <c r="D61" s="307" t="s">
        <v>443</v>
      </c>
      <c r="E61" s="74">
        <f t="shared" si="1"/>
        <v>0</v>
      </c>
    </row>
    <row r="62" spans="1:7" ht="15" customHeight="1" x14ac:dyDescent="0.25">
      <c r="A62" s="43" t="s">
        <v>444</v>
      </c>
      <c r="B62" s="74">
        <f t="shared" si="0"/>
        <v>0</v>
      </c>
      <c r="D62" s="307" t="s">
        <v>445</v>
      </c>
      <c r="E62" s="74">
        <f t="shared" si="1"/>
        <v>0</v>
      </c>
    </row>
    <row r="63" spans="1:7" ht="15" customHeight="1" x14ac:dyDescent="0.25">
      <c r="A63" s="43" t="s">
        <v>446</v>
      </c>
      <c r="B63" s="74">
        <f t="shared" si="0"/>
        <v>0</v>
      </c>
      <c r="D63" s="307" t="s">
        <v>447</v>
      </c>
      <c r="E63" s="74">
        <f t="shared" si="1"/>
        <v>0</v>
      </c>
    </row>
    <row r="64" spans="1:7" ht="15" customHeight="1" x14ac:dyDescent="0.25">
      <c r="A64" s="43" t="s">
        <v>448</v>
      </c>
      <c r="B64" s="74">
        <f t="shared" si="0"/>
        <v>0</v>
      </c>
      <c r="D64" s="307" t="s">
        <v>449</v>
      </c>
      <c r="E64" s="74">
        <f t="shared" si="1"/>
        <v>0</v>
      </c>
    </row>
    <row r="65" spans="1:7" ht="15" customHeight="1" x14ac:dyDescent="0.25">
      <c r="A65" s="43" t="s">
        <v>450</v>
      </c>
      <c r="B65" s="74">
        <f t="shared" si="0"/>
        <v>0</v>
      </c>
      <c r="D65" s="307" t="s">
        <v>451</v>
      </c>
      <c r="E65" s="74">
        <f t="shared" si="1"/>
        <v>0</v>
      </c>
    </row>
    <row r="66" spans="1:7" ht="15" customHeight="1" x14ac:dyDescent="0.25">
      <c r="A66" s="43" t="s">
        <v>452</v>
      </c>
      <c r="B66" s="74">
        <f t="shared" si="0"/>
        <v>0</v>
      </c>
      <c r="D66" s="307" t="s">
        <v>453</v>
      </c>
      <c r="E66" s="74">
        <f t="shared" si="1"/>
        <v>0</v>
      </c>
    </row>
    <row r="67" spans="1:7" x14ac:dyDescent="0.25">
      <c r="B67" s="304"/>
      <c r="D67" s="304"/>
    </row>
    <row r="68" spans="1:7" x14ac:dyDescent="0.25">
      <c r="B68" s="304"/>
      <c r="D68" s="304"/>
    </row>
    <row r="69" spans="1:7" ht="15" customHeight="1" x14ac:dyDescent="0.25">
      <c r="A69" s="387" t="s">
        <v>454</v>
      </c>
      <c r="B69" s="361"/>
      <c r="C69" s="361"/>
      <c r="D69" s="361"/>
      <c r="E69" s="361"/>
      <c r="F69" s="361"/>
      <c r="G69" s="361"/>
    </row>
    <row r="71" spans="1:7" ht="15" customHeight="1" x14ac:dyDescent="0.25">
      <c r="A71" t="s">
        <v>455</v>
      </c>
    </row>
    <row r="72" spans="1:7" ht="15" customHeight="1" x14ac:dyDescent="0.25">
      <c r="A72" t="s">
        <v>456</v>
      </c>
    </row>
    <row r="74" spans="1:7" ht="15" customHeight="1" x14ac:dyDescent="0.25">
      <c r="A74" s="406" t="s">
        <v>1313</v>
      </c>
      <c r="B74" s="361"/>
      <c r="C74" s="361"/>
      <c r="D74" s="361"/>
      <c r="E74" s="361"/>
      <c r="F74" s="361"/>
      <c r="G74" s="361"/>
    </row>
    <row r="75" spans="1:7" ht="15" customHeight="1" x14ac:dyDescent="0.25">
      <c r="A75" s="405" t="s">
        <v>81</v>
      </c>
      <c r="B75" s="361"/>
      <c r="C75" s="361"/>
      <c r="D75" s="361"/>
      <c r="E75" s="361"/>
      <c r="F75" s="361"/>
      <c r="G75" s="361"/>
    </row>
  </sheetData>
  <mergeCells count="7">
    <mergeCell ref="F3:G3"/>
    <mergeCell ref="A1:G1"/>
    <mergeCell ref="A75:G75"/>
    <mergeCell ref="A74:G74"/>
    <mergeCell ref="A69:G69"/>
    <mergeCell ref="A52:D52"/>
    <mergeCell ref="A54:B54"/>
  </mergeCells>
  <dataValidations count="3">
    <dataValidation type="list" allowBlank="1" error="Please select from the list" prompt="Select expense category" sqref="B51" xr:uid="{00000000-0002-0000-0400-000000000000}">
      <formula1>"Travel,Meals,Lodging,Office Supplies,Technology,Professional Development,Marketing,Insurance,Utilities,Vehicle,Other"</formula1>
      <formula2>0</formula2>
    </dataValidation>
    <dataValidation type="list" errorStyle="warning" allowBlank="1" showInputMessage="1" showErrorMessage="1" errorTitle="Non-standard Category" error="Select a category from the list for accurate subtotals." promptTitle="Expense Category" prompt="Select the category for this expense" sqref="B6:B50" xr:uid="{00000000-0002-0000-0400-000001000000}">
      <formula1>_xlfn._LONGTEXT("Meals &amp; Entertainment,Travel - Airfare,Travel - Lodging,Travel - Ground Transport,Vehicle (Gas/Parking/Tolls),Mileage Reimbursement,Office Supplies,Cell Phone / Mobile,Internet Service,Software / SaaS,Professional Development,Continuing Ed / Licenses,Clie","nt Entertainment,Client Gifts (≤$25/person),Dues &amp; Subscriptions,Books / Publications,Marketing &amp; Advertising,Equipment &amp; Technology,Professional Services,Business Insurance,Bank / Merchant Fees,Shipping / Postage,Business Interest Expense,Other Business ","Expense")</formula1>
    </dataValidation>
    <dataValidation type="list" allowBlank="1" showInputMessage="1" showErrorMessage="1" sqref="F6:F50" xr:uid="{00000000-0002-0000-0400-000002000000}">
      <formula1>"Yes,No,N/A"</formula1>
      <formula2>0</formula2>
    </dataValidation>
  </dataValidations>
  <pageMargins left="0.5" right="0.5" top="0.75" bottom="0.75" header="0.3" footer="0.3"/>
  <pageSetup fitToHeight="0" orientation="landscape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18"/>
  <sheetViews>
    <sheetView zoomScaleNormal="100" workbookViewId="0">
      <pane ySplit="4" topLeftCell="A17" activePane="bottomLeft" state="frozen"/>
      <selection pane="bottomLeft"/>
    </sheetView>
  </sheetViews>
  <sheetFormatPr defaultColWidth="8.7109375" defaultRowHeight="15" x14ac:dyDescent="0.25"/>
  <cols>
    <col min="1" max="1" width="45.85546875" customWidth="1"/>
    <col min="2" max="4" width="18" customWidth="1"/>
  </cols>
  <sheetData>
    <row r="1" spans="1:4" ht="23.25" customHeight="1" x14ac:dyDescent="0.35">
      <c r="A1" s="404" t="s">
        <v>457</v>
      </c>
      <c r="B1" s="361"/>
      <c r="C1" s="361"/>
      <c r="D1" s="361"/>
    </row>
    <row r="2" spans="1:4" ht="15" customHeight="1" x14ac:dyDescent="0.25">
      <c r="A2" s="387" t="s">
        <v>458</v>
      </c>
      <c r="B2" s="361"/>
      <c r="C2" s="361"/>
      <c r="D2" s="361"/>
    </row>
    <row r="3" spans="1:4" ht="15" customHeight="1" x14ac:dyDescent="0.25">
      <c r="A3" s="33" t="s">
        <v>459</v>
      </c>
    </row>
    <row r="4" spans="1:4" ht="15" customHeight="1" x14ac:dyDescent="0.25">
      <c r="A4" s="49" t="s">
        <v>460</v>
      </c>
      <c r="B4" s="65">
        <f>'Client Info'!C5</f>
        <v>0</v>
      </c>
      <c r="C4" s="49" t="s">
        <v>204</v>
      </c>
      <c r="D4" s="65" t="str">
        <f>'Client Info'!C9</f>
        <v>2025</v>
      </c>
    </row>
    <row r="7" spans="1:4" ht="15" customHeight="1" x14ac:dyDescent="0.25">
      <c r="A7" s="383" t="s">
        <v>461</v>
      </c>
      <c r="B7" s="361"/>
      <c r="C7" s="361"/>
      <c r="D7" s="361"/>
    </row>
    <row r="9" spans="1:4" ht="15" customHeight="1" x14ac:dyDescent="0.25">
      <c r="A9" s="43" t="s">
        <v>462</v>
      </c>
      <c r="B9" s="66"/>
    </row>
    <row r="10" spans="1:4" ht="15" customHeight="1" x14ac:dyDescent="0.25">
      <c r="A10" s="43" t="s">
        <v>463</v>
      </c>
      <c r="B10" s="66"/>
    </row>
    <row r="11" spans="1:4" ht="15" customHeight="1" x14ac:dyDescent="0.25">
      <c r="A11" s="49" t="s">
        <v>464</v>
      </c>
      <c r="B11" s="96">
        <f>IF(B9&gt;0,B10/B9,0)</f>
        <v>0</v>
      </c>
    </row>
    <row r="14" spans="1:4" ht="15" customHeight="1" x14ac:dyDescent="0.25">
      <c r="A14" s="386" t="s">
        <v>465</v>
      </c>
      <c r="B14" s="361"/>
      <c r="C14" s="361"/>
      <c r="D14" s="361"/>
    </row>
    <row r="16" spans="1:4" ht="15" customHeight="1" x14ac:dyDescent="0.25">
      <c r="A16" s="43" t="s">
        <v>466</v>
      </c>
      <c r="B16" s="66">
        <f>MIN(B10,300)</f>
        <v>300</v>
      </c>
    </row>
    <row r="17" spans="1:4" ht="15" customHeight="1" x14ac:dyDescent="0.25">
      <c r="A17" s="43" t="s">
        <v>467</v>
      </c>
      <c r="B17" t="s">
        <v>468</v>
      </c>
    </row>
    <row r="18" spans="1:4" ht="15" customHeight="1" x14ac:dyDescent="0.25">
      <c r="A18" s="49" t="s">
        <v>469</v>
      </c>
      <c r="B18" s="76">
        <f>B16*5</f>
        <v>1500</v>
      </c>
    </row>
    <row r="21" spans="1:4" ht="15" customHeight="1" x14ac:dyDescent="0.25">
      <c r="A21" s="383" t="s">
        <v>470</v>
      </c>
      <c r="B21" s="361"/>
      <c r="C21" s="361"/>
      <c r="D21" s="361"/>
    </row>
    <row r="23" spans="1:4" ht="15" customHeight="1" x14ac:dyDescent="0.25">
      <c r="A23" s="71" t="s">
        <v>471</v>
      </c>
      <c r="B23" s="71" t="s">
        <v>472</v>
      </c>
      <c r="C23" s="71" t="s">
        <v>473</v>
      </c>
      <c r="D23" s="71" t="s">
        <v>474</v>
      </c>
    </row>
    <row r="24" spans="1:4" ht="15" customHeight="1" x14ac:dyDescent="0.25">
      <c r="A24" s="411" t="s">
        <v>475</v>
      </c>
      <c r="B24" s="361"/>
      <c r="C24" s="361"/>
      <c r="D24" s="412"/>
    </row>
    <row r="25" spans="1:4" ht="15" customHeight="1" x14ac:dyDescent="0.25">
      <c r="A25" s="43" t="s">
        <v>476</v>
      </c>
      <c r="B25" s="74"/>
      <c r="C25" s="77" t="s">
        <v>477</v>
      </c>
      <c r="D25" s="309">
        <f>B25</f>
        <v>0</v>
      </c>
    </row>
    <row r="26" spans="1:4" ht="15" customHeight="1" x14ac:dyDescent="0.25">
      <c r="A26" s="43" t="s">
        <v>478</v>
      </c>
      <c r="B26" s="78"/>
      <c r="C26" s="77" t="s">
        <v>477</v>
      </c>
      <c r="D26" s="309">
        <f>B26</f>
        <v>0</v>
      </c>
    </row>
    <row r="27" spans="1:4" ht="15" customHeight="1" x14ac:dyDescent="0.25">
      <c r="A27" s="43" t="s">
        <v>479</v>
      </c>
      <c r="B27" s="78"/>
      <c r="C27" s="77" t="s">
        <v>477</v>
      </c>
      <c r="D27" s="78">
        <f>B27</f>
        <v>0</v>
      </c>
    </row>
    <row r="28" spans="1:4" ht="15" customHeight="1" x14ac:dyDescent="0.25">
      <c r="B28" s="79"/>
      <c r="D28" s="80"/>
    </row>
    <row r="29" spans="1:4" ht="15" customHeight="1" x14ac:dyDescent="0.25">
      <c r="A29" s="411" t="s">
        <v>480</v>
      </c>
      <c r="B29" s="361"/>
      <c r="C29" s="361"/>
      <c r="D29" s="361"/>
    </row>
    <row r="30" spans="1:4" ht="15" customHeight="1" x14ac:dyDescent="0.25">
      <c r="A30" s="43" t="s">
        <v>481</v>
      </c>
      <c r="B30" s="74"/>
      <c r="C30" s="81">
        <f t="shared" ref="C30:C40" si="0">$B$11</f>
        <v>0</v>
      </c>
      <c r="D30" s="309">
        <f t="shared" ref="D30:D40" si="1">B30*$B$11</f>
        <v>0</v>
      </c>
    </row>
    <row r="31" spans="1:4" ht="15" customHeight="1" x14ac:dyDescent="0.25">
      <c r="A31" s="43" t="s">
        <v>482</v>
      </c>
      <c r="B31" s="78"/>
      <c r="C31" s="81">
        <f t="shared" si="0"/>
        <v>0</v>
      </c>
      <c r="D31" s="309">
        <f t="shared" si="1"/>
        <v>0</v>
      </c>
    </row>
    <row r="32" spans="1:4" ht="15" customHeight="1" x14ac:dyDescent="0.25">
      <c r="A32" s="43" t="s">
        <v>483</v>
      </c>
      <c r="B32" s="78"/>
      <c r="C32" s="81">
        <f t="shared" si="0"/>
        <v>0</v>
      </c>
      <c r="D32" s="309">
        <f t="shared" si="1"/>
        <v>0</v>
      </c>
    </row>
    <row r="33" spans="1:4" ht="15" customHeight="1" x14ac:dyDescent="0.25">
      <c r="A33" s="43" t="s">
        <v>484</v>
      </c>
      <c r="B33" s="78"/>
      <c r="C33" s="81">
        <f t="shared" si="0"/>
        <v>0</v>
      </c>
      <c r="D33" s="309">
        <f t="shared" si="1"/>
        <v>0</v>
      </c>
    </row>
    <row r="34" spans="1:4" ht="15" customHeight="1" x14ac:dyDescent="0.25">
      <c r="A34" s="43" t="s">
        <v>485</v>
      </c>
      <c r="B34" s="78"/>
      <c r="C34" s="81">
        <f t="shared" si="0"/>
        <v>0</v>
      </c>
      <c r="D34" s="309">
        <f t="shared" si="1"/>
        <v>0</v>
      </c>
    </row>
    <row r="35" spans="1:4" ht="15" customHeight="1" x14ac:dyDescent="0.25">
      <c r="A35" s="43" t="s">
        <v>446</v>
      </c>
      <c r="B35" s="78"/>
      <c r="C35" s="81">
        <f t="shared" si="0"/>
        <v>0</v>
      </c>
      <c r="D35" s="309">
        <f t="shared" si="1"/>
        <v>0</v>
      </c>
    </row>
    <row r="36" spans="1:4" ht="15" customHeight="1" x14ac:dyDescent="0.25">
      <c r="A36" s="43" t="s">
        <v>486</v>
      </c>
      <c r="B36" s="78"/>
      <c r="C36" s="81">
        <f t="shared" si="0"/>
        <v>0</v>
      </c>
      <c r="D36" s="309">
        <f t="shared" si="1"/>
        <v>0</v>
      </c>
    </row>
    <row r="37" spans="1:4" ht="15" customHeight="1" x14ac:dyDescent="0.25">
      <c r="A37" s="43" t="s">
        <v>487</v>
      </c>
      <c r="B37" s="78"/>
      <c r="C37" s="81">
        <f t="shared" si="0"/>
        <v>0</v>
      </c>
      <c r="D37" s="309">
        <f t="shared" si="1"/>
        <v>0</v>
      </c>
    </row>
    <row r="38" spans="1:4" ht="15" customHeight="1" x14ac:dyDescent="0.25">
      <c r="A38" s="43" t="s">
        <v>488</v>
      </c>
      <c r="B38" s="78"/>
      <c r="C38" s="81">
        <f t="shared" si="0"/>
        <v>0</v>
      </c>
      <c r="D38" s="309">
        <f t="shared" si="1"/>
        <v>0</v>
      </c>
    </row>
    <row r="39" spans="1:4" ht="15" customHeight="1" x14ac:dyDescent="0.25">
      <c r="A39" s="43" t="s">
        <v>489</v>
      </c>
      <c r="B39" s="78"/>
      <c r="C39" s="81">
        <f t="shared" si="0"/>
        <v>0</v>
      </c>
      <c r="D39" s="309">
        <f t="shared" si="1"/>
        <v>0</v>
      </c>
    </row>
    <row r="40" spans="1:4" ht="15" customHeight="1" x14ac:dyDescent="0.25">
      <c r="A40" s="43" t="s">
        <v>490</v>
      </c>
      <c r="B40" s="78"/>
      <c r="C40" s="81">
        <f t="shared" si="0"/>
        <v>0</v>
      </c>
      <c r="D40" s="309">
        <f t="shared" si="1"/>
        <v>0</v>
      </c>
    </row>
    <row r="41" spans="1:4" ht="15" customHeight="1" x14ac:dyDescent="0.25">
      <c r="B41" s="79"/>
      <c r="D41" s="308"/>
    </row>
    <row r="42" spans="1:4" ht="15" customHeight="1" x14ac:dyDescent="0.25">
      <c r="A42" s="383" t="s">
        <v>491</v>
      </c>
      <c r="B42" s="361"/>
      <c r="C42" s="361"/>
      <c r="D42" s="361"/>
    </row>
    <row r="44" spans="1:4" ht="15" customHeight="1" x14ac:dyDescent="0.25">
      <c r="A44" s="49" t="s">
        <v>492</v>
      </c>
      <c r="B44" s="66"/>
      <c r="C44" s="43" t="s">
        <v>493</v>
      </c>
      <c r="D44" s="82"/>
    </row>
    <row r="46" spans="1:4" ht="15" customHeight="1" x14ac:dyDescent="0.25">
      <c r="A46" s="43" t="s">
        <v>494</v>
      </c>
      <c r="B46" s="74"/>
    </row>
    <row r="47" spans="1:4" ht="15" customHeight="1" x14ac:dyDescent="0.25">
      <c r="A47" s="43" t="s">
        <v>495</v>
      </c>
      <c r="B47" s="74"/>
    </row>
    <row r="48" spans="1:4" ht="15" customHeight="1" x14ac:dyDescent="0.25">
      <c r="A48" s="43" t="s">
        <v>496</v>
      </c>
      <c r="B48" s="79">
        <f>B46-B47</f>
        <v>0</v>
      </c>
    </row>
    <row r="49" spans="1:4" ht="15" customHeight="1" x14ac:dyDescent="0.25">
      <c r="A49" s="43" t="s">
        <v>497</v>
      </c>
      <c r="B49" s="78"/>
    </row>
    <row r="50" spans="1:4" ht="15" customHeight="1" x14ac:dyDescent="0.25">
      <c r="A50" s="49" t="s">
        <v>498</v>
      </c>
      <c r="B50" s="83">
        <f>B48+B49</f>
        <v>0</v>
      </c>
    </row>
    <row r="52" spans="1:4" ht="15" customHeight="1" x14ac:dyDescent="0.25">
      <c r="A52" s="43" t="s">
        <v>499</v>
      </c>
      <c r="B52" s="79">
        <f>B50*B11</f>
        <v>0</v>
      </c>
    </row>
    <row r="54" spans="1:4" ht="15" customHeight="1" x14ac:dyDescent="0.25">
      <c r="A54" s="411" t="s">
        <v>500</v>
      </c>
      <c r="B54" s="361"/>
      <c r="C54" s="361"/>
      <c r="D54" s="361"/>
    </row>
    <row r="55" spans="1:4" ht="15" customHeight="1" x14ac:dyDescent="0.25">
      <c r="A55" s="387" t="s">
        <v>501</v>
      </c>
      <c r="B55" s="361"/>
      <c r="C55" s="361"/>
      <c r="D55" s="361"/>
    </row>
    <row r="57" spans="1:4" ht="15" customHeight="1" x14ac:dyDescent="0.25">
      <c r="A57" s="49" t="s">
        <v>502</v>
      </c>
      <c r="B57" s="49" t="s">
        <v>503</v>
      </c>
      <c r="C57" s="49" t="s">
        <v>502</v>
      </c>
      <c r="D57" s="49" t="s">
        <v>503</v>
      </c>
    </row>
    <row r="58" spans="1:4" ht="15" customHeight="1" x14ac:dyDescent="0.25">
      <c r="A58" s="84" t="s">
        <v>504</v>
      </c>
      <c r="B58" s="84" t="s">
        <v>505</v>
      </c>
      <c r="C58" s="84" t="s">
        <v>506</v>
      </c>
      <c r="D58" s="84" t="s">
        <v>507</v>
      </c>
    </row>
    <row r="59" spans="1:4" ht="15" customHeight="1" x14ac:dyDescent="0.25">
      <c r="A59" s="84" t="s">
        <v>508</v>
      </c>
      <c r="B59" s="84" t="s">
        <v>509</v>
      </c>
      <c r="C59" s="84" t="s">
        <v>510</v>
      </c>
      <c r="D59" s="84" t="s">
        <v>511</v>
      </c>
    </row>
    <row r="60" spans="1:4" ht="15" customHeight="1" x14ac:dyDescent="0.25">
      <c r="A60" s="84" t="s">
        <v>512</v>
      </c>
      <c r="B60" s="84" t="s">
        <v>513</v>
      </c>
      <c r="C60" s="84" t="s">
        <v>514</v>
      </c>
      <c r="D60" s="84" t="s">
        <v>515</v>
      </c>
    </row>
    <row r="61" spans="1:4" ht="15" customHeight="1" x14ac:dyDescent="0.25">
      <c r="A61" s="84" t="s">
        <v>516</v>
      </c>
      <c r="B61" s="84" t="s">
        <v>517</v>
      </c>
      <c r="C61" s="84" t="s">
        <v>518</v>
      </c>
      <c r="D61" s="84" t="s">
        <v>519</v>
      </c>
    </row>
    <row r="62" spans="1:4" ht="15" customHeight="1" x14ac:dyDescent="0.25">
      <c r="A62" s="84" t="s">
        <v>520</v>
      </c>
      <c r="B62" s="84" t="s">
        <v>521</v>
      </c>
      <c r="C62" s="84" t="s">
        <v>522</v>
      </c>
      <c r="D62" s="84" t="s">
        <v>523</v>
      </c>
    </row>
    <row r="63" spans="1:4" ht="15" customHeight="1" x14ac:dyDescent="0.25">
      <c r="A63" s="84" t="s">
        <v>524</v>
      </c>
      <c r="B63" s="84" t="s">
        <v>525</v>
      </c>
      <c r="C63" s="84" t="s">
        <v>526</v>
      </c>
      <c r="D63" s="84" t="s">
        <v>527</v>
      </c>
    </row>
    <row r="65" spans="1:4" ht="15" customHeight="1" x14ac:dyDescent="0.25">
      <c r="A65" s="43" t="s">
        <v>528</v>
      </c>
      <c r="B65" s="85"/>
    </row>
    <row r="66" spans="1:4" ht="15" customHeight="1" x14ac:dyDescent="0.25">
      <c r="A66" s="43" t="s">
        <v>529</v>
      </c>
      <c r="B66" s="79">
        <f>B52*B65</f>
        <v>0</v>
      </c>
    </row>
    <row r="67" spans="1:4" ht="15" customHeight="1" x14ac:dyDescent="0.25">
      <c r="A67" s="43" t="s">
        <v>530</v>
      </c>
      <c r="B67" s="79">
        <f>IF(B52&gt;0,B52/39,0)</f>
        <v>0</v>
      </c>
    </row>
    <row r="68" spans="1:4" ht="15" customHeight="1" x14ac:dyDescent="0.25">
      <c r="A68" s="49" t="s">
        <v>531</v>
      </c>
      <c r="B68" s="78"/>
    </row>
    <row r="69" spans="1:4" ht="15" customHeight="1" x14ac:dyDescent="0.25">
      <c r="A69" s="42" t="s">
        <v>532</v>
      </c>
    </row>
    <row r="72" spans="1:4" ht="15" customHeight="1" x14ac:dyDescent="0.25">
      <c r="A72" s="383" t="s">
        <v>533</v>
      </c>
      <c r="B72" s="361"/>
      <c r="C72" s="361"/>
      <c r="D72" s="361"/>
    </row>
    <row r="74" spans="1:4" ht="15" customHeight="1" x14ac:dyDescent="0.25">
      <c r="A74" s="86" t="s">
        <v>534</v>
      </c>
      <c r="B74" s="86" t="s">
        <v>535</v>
      </c>
      <c r="C74" s="86" t="s">
        <v>536</v>
      </c>
      <c r="D74" s="86" t="s">
        <v>537</v>
      </c>
    </row>
    <row r="75" spans="1:4" ht="15" customHeight="1" x14ac:dyDescent="0.25">
      <c r="A75" s="84" t="s">
        <v>538</v>
      </c>
      <c r="B75" s="74">
        <f>B66</f>
        <v>0</v>
      </c>
      <c r="C75" s="74">
        <f>B75</f>
        <v>0</v>
      </c>
      <c r="D75" s="74">
        <f>B52-C75</f>
        <v>0</v>
      </c>
    </row>
    <row r="76" spans="1:4" ht="15" customHeight="1" x14ac:dyDescent="0.25">
      <c r="A76" s="84" t="s">
        <v>539</v>
      </c>
      <c r="B76" s="74">
        <f t="shared" ref="B76:B84" si="2">$B$67</f>
        <v>0</v>
      </c>
      <c r="C76" s="74">
        <f t="shared" ref="C76:C84" si="3">C75+B76</f>
        <v>0</v>
      </c>
      <c r="D76" s="74">
        <f t="shared" ref="D76:D84" si="4">$B$52-C76</f>
        <v>0</v>
      </c>
    </row>
    <row r="77" spans="1:4" ht="15" customHeight="1" x14ac:dyDescent="0.25">
      <c r="A77" s="84" t="s">
        <v>540</v>
      </c>
      <c r="B77" s="74">
        <f t="shared" si="2"/>
        <v>0</v>
      </c>
      <c r="C77" s="74">
        <f t="shared" si="3"/>
        <v>0</v>
      </c>
      <c r="D77" s="74">
        <f t="shared" si="4"/>
        <v>0</v>
      </c>
    </row>
    <row r="78" spans="1:4" ht="15" customHeight="1" x14ac:dyDescent="0.25">
      <c r="A78" s="84" t="s">
        <v>541</v>
      </c>
      <c r="B78" s="74">
        <f t="shared" si="2"/>
        <v>0</v>
      </c>
      <c r="C78" s="74">
        <f t="shared" si="3"/>
        <v>0</v>
      </c>
      <c r="D78" s="74">
        <f t="shared" si="4"/>
        <v>0</v>
      </c>
    </row>
    <row r="79" spans="1:4" ht="15" customHeight="1" x14ac:dyDescent="0.25">
      <c r="A79" s="84" t="s">
        <v>542</v>
      </c>
      <c r="B79" s="74">
        <f t="shared" si="2"/>
        <v>0</v>
      </c>
      <c r="C79" s="74">
        <f t="shared" si="3"/>
        <v>0</v>
      </c>
      <c r="D79" s="74">
        <f t="shared" si="4"/>
        <v>0</v>
      </c>
    </row>
    <row r="80" spans="1:4" ht="15" customHeight="1" x14ac:dyDescent="0.25">
      <c r="A80" s="84" t="s">
        <v>543</v>
      </c>
      <c r="B80" s="74">
        <f t="shared" si="2"/>
        <v>0</v>
      </c>
      <c r="C80" s="74">
        <f t="shared" si="3"/>
        <v>0</v>
      </c>
      <c r="D80" s="74">
        <f t="shared" si="4"/>
        <v>0</v>
      </c>
    </row>
    <row r="81" spans="1:4" ht="15" customHeight="1" x14ac:dyDescent="0.25">
      <c r="A81" s="84" t="s">
        <v>544</v>
      </c>
      <c r="B81" s="74">
        <f t="shared" si="2"/>
        <v>0</v>
      </c>
      <c r="C81" s="74">
        <f t="shared" si="3"/>
        <v>0</v>
      </c>
      <c r="D81" s="74">
        <f t="shared" si="4"/>
        <v>0</v>
      </c>
    </row>
    <row r="82" spans="1:4" ht="15" customHeight="1" x14ac:dyDescent="0.25">
      <c r="A82" s="84" t="s">
        <v>545</v>
      </c>
      <c r="B82" s="74">
        <f t="shared" si="2"/>
        <v>0</v>
      </c>
      <c r="C82" s="74">
        <f t="shared" si="3"/>
        <v>0</v>
      </c>
      <c r="D82" s="74">
        <f t="shared" si="4"/>
        <v>0</v>
      </c>
    </row>
    <row r="83" spans="1:4" ht="15" customHeight="1" x14ac:dyDescent="0.25">
      <c r="A83" s="84" t="s">
        <v>546</v>
      </c>
      <c r="B83" s="74">
        <f t="shared" si="2"/>
        <v>0</v>
      </c>
      <c r="C83" s="74">
        <f t="shared" si="3"/>
        <v>0</v>
      </c>
      <c r="D83" s="74">
        <f t="shared" si="4"/>
        <v>0</v>
      </c>
    </row>
    <row r="84" spans="1:4" ht="15" customHeight="1" x14ac:dyDescent="0.25">
      <c r="A84" s="84" t="s">
        <v>547</v>
      </c>
      <c r="B84" s="74">
        <f t="shared" si="2"/>
        <v>0</v>
      </c>
      <c r="C84" s="74">
        <f t="shared" si="3"/>
        <v>0</v>
      </c>
      <c r="D84" s="74">
        <f t="shared" si="4"/>
        <v>0</v>
      </c>
    </row>
    <row r="86" spans="1:4" ht="15" customHeight="1" x14ac:dyDescent="0.25">
      <c r="A86" s="410" t="s">
        <v>548</v>
      </c>
      <c r="B86" s="361"/>
      <c r="C86" s="361"/>
      <c r="D86" s="361"/>
    </row>
    <row r="88" spans="1:4" ht="15" customHeight="1" x14ac:dyDescent="0.25">
      <c r="A88" s="384" t="s">
        <v>549</v>
      </c>
      <c r="B88" s="361"/>
      <c r="C88" s="361"/>
      <c r="D88" s="361"/>
    </row>
    <row r="89" spans="1:4" ht="15" customHeight="1" x14ac:dyDescent="0.25">
      <c r="A89" s="384" t="s">
        <v>550</v>
      </c>
      <c r="B89" s="361"/>
      <c r="C89" s="361"/>
      <c r="D89" s="361"/>
    </row>
    <row r="91" spans="1:4" ht="15" customHeight="1" x14ac:dyDescent="0.25">
      <c r="A91" s="49" t="s">
        <v>551</v>
      </c>
      <c r="B91" s="73"/>
    </row>
    <row r="92" spans="1:4" ht="15" customHeight="1" x14ac:dyDescent="0.25">
      <c r="A92" s="43" t="s">
        <v>552</v>
      </c>
      <c r="B92" s="79">
        <f>IF(B91&gt;0,B66+(B91-1)*B67,0)</f>
        <v>0</v>
      </c>
    </row>
    <row r="93" spans="1:4" ht="15" customHeight="1" x14ac:dyDescent="0.25">
      <c r="A93" s="49" t="s">
        <v>553</v>
      </c>
      <c r="B93" s="87">
        <f>B92*0.25</f>
        <v>0</v>
      </c>
    </row>
    <row r="95" spans="1:4" ht="15" customHeight="1" x14ac:dyDescent="0.25">
      <c r="A95" s="43" t="s">
        <v>554</v>
      </c>
      <c r="B95" s="79">
        <f>B92</f>
        <v>0</v>
      </c>
    </row>
    <row r="96" spans="1:4" ht="15" customHeight="1" x14ac:dyDescent="0.25">
      <c r="A96" s="43" t="s">
        <v>1341</v>
      </c>
      <c r="B96" s="79">
        <f>B95*0.42</f>
        <v>0</v>
      </c>
    </row>
    <row r="97" spans="1:4" ht="15" customHeight="1" x14ac:dyDescent="0.25">
      <c r="A97" s="49" t="s">
        <v>555</v>
      </c>
      <c r="B97" s="88">
        <f>B96-B93</f>
        <v>0</v>
      </c>
    </row>
    <row r="99" spans="1:4" ht="15" customHeight="1" x14ac:dyDescent="0.25">
      <c r="A99" s="387" t="s">
        <v>556</v>
      </c>
      <c r="B99" s="361"/>
      <c r="C99" s="361"/>
      <c r="D99" s="361"/>
    </row>
    <row r="102" spans="1:4" ht="15" customHeight="1" x14ac:dyDescent="0.25">
      <c r="A102" s="413" t="s">
        <v>557</v>
      </c>
      <c r="B102" s="361"/>
      <c r="C102" s="361"/>
      <c r="D102" s="72">
        <f>SUM(D25:D27)+SUM(D30:D40)+B68</f>
        <v>0</v>
      </c>
    </row>
    <row r="105" spans="1:4" ht="15" customHeight="1" x14ac:dyDescent="0.25">
      <c r="A105" s="383" t="s">
        <v>558</v>
      </c>
      <c r="B105" s="361"/>
      <c r="C105" s="361"/>
      <c r="D105" s="361"/>
    </row>
    <row r="107" spans="1:4" ht="15" customHeight="1" x14ac:dyDescent="0.25">
      <c r="A107" s="49" t="s">
        <v>559</v>
      </c>
      <c r="B107" s="74">
        <f>B18</f>
        <v>1500</v>
      </c>
    </row>
    <row r="108" spans="1:4" ht="15" customHeight="1" x14ac:dyDescent="0.25">
      <c r="A108" s="49" t="s">
        <v>560</v>
      </c>
      <c r="B108" s="74">
        <f>D102</f>
        <v>0</v>
      </c>
    </row>
    <row r="109" spans="1:4" ht="15" customHeight="1" x14ac:dyDescent="0.25">
      <c r="A109" s="43" t="s">
        <v>561</v>
      </c>
      <c r="B109" s="80">
        <f>B108-B107</f>
        <v>-1500</v>
      </c>
    </row>
    <row r="111" spans="1:4" ht="15" customHeight="1" x14ac:dyDescent="0.25">
      <c r="A111" s="57" t="s">
        <v>562</v>
      </c>
      <c r="B111" s="89" t="str">
        <f>IF(B108&gt;B107,"Regular Method","Simplified Method")</f>
        <v>Simplified Method</v>
      </c>
    </row>
    <row r="112" spans="1:4" ht="15" customHeight="1" x14ac:dyDescent="0.25">
      <c r="A112" s="57" t="s">
        <v>563</v>
      </c>
      <c r="B112" s="90">
        <f>MAX(B107,B108)</f>
        <v>1500</v>
      </c>
    </row>
    <row r="114" spans="1:4" ht="15" customHeight="1" x14ac:dyDescent="0.25">
      <c r="A114" s="387" t="s">
        <v>564</v>
      </c>
      <c r="B114" s="361"/>
      <c r="C114" s="361"/>
      <c r="D114" s="361"/>
    </row>
    <row r="115" spans="1:4" ht="15" customHeight="1" x14ac:dyDescent="0.25">
      <c r="A115" s="387" t="s">
        <v>565</v>
      </c>
      <c r="B115" s="361"/>
      <c r="C115" s="361"/>
      <c r="D115" s="361"/>
    </row>
    <row r="117" spans="1:4" ht="15" customHeight="1" x14ac:dyDescent="0.25">
      <c r="A117" s="406" t="s">
        <v>1313</v>
      </c>
      <c r="B117" s="361"/>
      <c r="C117" s="361"/>
      <c r="D117" s="361"/>
    </row>
    <row r="118" spans="1:4" ht="15" customHeight="1" x14ac:dyDescent="0.25">
      <c r="A118" s="405" t="s">
        <v>81</v>
      </c>
      <c r="B118" s="361"/>
      <c r="C118" s="361"/>
      <c r="D118" s="361"/>
    </row>
  </sheetData>
  <mergeCells count="21">
    <mergeCell ref="A1:D1"/>
    <mergeCell ref="A102:C102"/>
    <mergeCell ref="A88:D88"/>
    <mergeCell ref="A54:D54"/>
    <mergeCell ref="A7:D7"/>
    <mergeCell ref="A99:D99"/>
    <mergeCell ref="A2:D2"/>
    <mergeCell ref="A14:D14"/>
    <mergeCell ref="A72:D72"/>
    <mergeCell ref="A29:D29"/>
    <mergeCell ref="A118:D118"/>
    <mergeCell ref="A89:D89"/>
    <mergeCell ref="A105:D105"/>
    <mergeCell ref="A21:D21"/>
    <mergeCell ref="A55:D55"/>
    <mergeCell ref="A86:D86"/>
    <mergeCell ref="A42:D42"/>
    <mergeCell ref="A24:D24"/>
    <mergeCell ref="A117:D117"/>
    <mergeCell ref="A115:D115"/>
    <mergeCell ref="A114:D114"/>
  </mergeCells>
  <pageMargins left="0.5" right="0.5" top="0.75" bottom="0.75" header="0.3" footer="0.3"/>
  <pageSetup fitToHeight="0" orientation="portrait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2"/>
  <sheetViews>
    <sheetView zoomScaleNormal="100" workbookViewId="0">
      <pane ySplit="10" topLeftCell="A11" activePane="bottomLeft" state="frozen"/>
      <selection pane="bottomLeft" activeCell="E11" sqref="E11"/>
    </sheetView>
  </sheetViews>
  <sheetFormatPr defaultColWidth="8.7109375" defaultRowHeight="15" x14ac:dyDescent="0.25"/>
  <cols>
    <col min="1" max="1" width="5" customWidth="1"/>
    <col min="2" max="2" width="12" customWidth="1"/>
    <col min="3" max="3" width="20" customWidth="1"/>
    <col min="4" max="4" width="26" customWidth="1"/>
    <col min="5" max="6" width="11" customWidth="1"/>
    <col min="7" max="7" width="10" customWidth="1"/>
    <col min="8" max="8" width="14" customWidth="1"/>
  </cols>
  <sheetData>
    <row r="1" spans="1:8" ht="23.25" customHeight="1" x14ac:dyDescent="0.35">
      <c r="A1" s="404" t="s">
        <v>566</v>
      </c>
      <c r="B1" s="361"/>
      <c r="C1" s="361"/>
      <c r="D1" s="361"/>
      <c r="E1" s="361"/>
      <c r="F1" s="361"/>
      <c r="G1" s="361"/>
      <c r="H1" s="361"/>
    </row>
    <row r="2" spans="1:8" ht="15" customHeight="1" x14ac:dyDescent="0.25">
      <c r="A2" s="387" t="s">
        <v>567</v>
      </c>
      <c r="B2" s="361"/>
      <c r="C2" s="361"/>
      <c r="D2" s="361"/>
      <c r="E2" s="361"/>
      <c r="F2" s="361"/>
      <c r="G2" s="361"/>
      <c r="H2" s="361"/>
    </row>
    <row r="3" spans="1:8" ht="15" customHeight="1" x14ac:dyDescent="0.25">
      <c r="A3" s="33" t="s">
        <v>568</v>
      </c>
    </row>
    <row r="4" spans="1:8" ht="15" customHeight="1" x14ac:dyDescent="0.25">
      <c r="A4" s="49" t="s">
        <v>569</v>
      </c>
      <c r="B4" s="416">
        <f>'Client Info'!C5</f>
        <v>0</v>
      </c>
      <c r="C4" s="403"/>
      <c r="D4" s="91" t="s">
        <v>570</v>
      </c>
      <c r="E4" s="402"/>
      <c r="F4" s="403"/>
    </row>
    <row r="5" spans="1:8" ht="15" customHeight="1" x14ac:dyDescent="0.25">
      <c r="A5" s="49" t="s">
        <v>571</v>
      </c>
      <c r="B5" s="402"/>
      <c r="C5" s="403"/>
      <c r="D5" s="91" t="s">
        <v>572</v>
      </c>
      <c r="E5" s="73"/>
      <c r="G5" s="91" t="s">
        <v>573</v>
      </c>
      <c r="H5" s="73"/>
    </row>
    <row r="8" spans="1:8" ht="15" customHeight="1" x14ac:dyDescent="0.25">
      <c r="A8" s="383" t="s">
        <v>574</v>
      </c>
      <c r="B8" s="361"/>
      <c r="C8" s="361"/>
      <c r="D8" s="361"/>
      <c r="E8" s="361"/>
      <c r="F8" s="361"/>
      <c r="G8" s="361"/>
      <c r="H8" s="92" t="s">
        <v>575</v>
      </c>
    </row>
    <row r="10" spans="1:8" ht="15" customHeight="1" x14ac:dyDescent="0.25">
      <c r="A10" s="86" t="s">
        <v>576</v>
      </c>
      <c r="B10" s="86" t="s">
        <v>38</v>
      </c>
      <c r="C10" s="86" t="s">
        <v>577</v>
      </c>
      <c r="D10" s="86" t="s">
        <v>426</v>
      </c>
      <c r="E10" s="86" t="s">
        <v>578</v>
      </c>
      <c r="F10" s="86" t="s">
        <v>579</v>
      </c>
      <c r="G10" s="86" t="s">
        <v>580</v>
      </c>
    </row>
    <row r="11" spans="1:8" ht="19.5" customHeight="1" x14ac:dyDescent="0.25">
      <c r="A11" s="93">
        <v>1</v>
      </c>
      <c r="B11" s="68"/>
      <c r="C11" s="68"/>
      <c r="D11" s="68"/>
      <c r="E11" s="68"/>
      <c r="F11" s="68"/>
      <c r="G11" s="94" t="str">
        <f t="shared" ref="G11:G30" si="0">IF(AND(E11&gt;0,F11&gt;0),F11-E11,"")</f>
        <v/>
      </c>
    </row>
    <row r="12" spans="1:8" ht="19.5" customHeight="1" x14ac:dyDescent="0.25">
      <c r="A12" s="93">
        <v>2</v>
      </c>
      <c r="B12" s="68"/>
      <c r="C12" s="68"/>
      <c r="D12" s="68"/>
      <c r="E12" s="68"/>
      <c r="F12" s="68"/>
      <c r="G12" s="94" t="str">
        <f t="shared" si="0"/>
        <v/>
      </c>
    </row>
    <row r="13" spans="1:8" ht="19.5" customHeight="1" x14ac:dyDescent="0.25">
      <c r="A13" s="93">
        <v>3</v>
      </c>
      <c r="B13" s="68"/>
      <c r="C13" s="68"/>
      <c r="D13" s="68"/>
      <c r="E13" s="68"/>
      <c r="F13" s="68"/>
      <c r="G13" s="94" t="str">
        <f t="shared" si="0"/>
        <v/>
      </c>
    </row>
    <row r="14" spans="1:8" ht="19.5" customHeight="1" x14ac:dyDescent="0.25">
      <c r="A14" s="93">
        <v>4</v>
      </c>
      <c r="B14" s="68"/>
      <c r="C14" s="68"/>
      <c r="D14" s="68"/>
      <c r="E14" s="68"/>
      <c r="F14" s="68"/>
      <c r="G14" s="94" t="str">
        <f t="shared" si="0"/>
        <v/>
      </c>
    </row>
    <row r="15" spans="1:8" ht="19.5" customHeight="1" x14ac:dyDescent="0.25">
      <c r="A15" s="93">
        <v>5</v>
      </c>
      <c r="B15" s="68"/>
      <c r="C15" s="68"/>
      <c r="D15" s="68"/>
      <c r="E15" s="68"/>
      <c r="F15" s="68"/>
      <c r="G15" s="94" t="str">
        <f t="shared" si="0"/>
        <v/>
      </c>
    </row>
    <row r="16" spans="1:8" ht="19.5" customHeight="1" x14ac:dyDescent="0.25">
      <c r="A16" s="93">
        <v>6</v>
      </c>
      <c r="B16" s="68"/>
      <c r="C16" s="68"/>
      <c r="D16" s="68"/>
      <c r="E16" s="68"/>
      <c r="F16" s="68"/>
      <c r="G16" s="94" t="str">
        <f t="shared" si="0"/>
        <v/>
      </c>
    </row>
    <row r="17" spans="1:7" ht="19.5" customHeight="1" x14ac:dyDescent="0.25">
      <c r="A17" s="93">
        <v>7</v>
      </c>
      <c r="B17" s="68"/>
      <c r="C17" s="68"/>
      <c r="D17" s="68"/>
      <c r="E17" s="68"/>
      <c r="F17" s="68"/>
      <c r="G17" s="94" t="str">
        <f t="shared" si="0"/>
        <v/>
      </c>
    </row>
    <row r="18" spans="1:7" ht="19.5" customHeight="1" x14ac:dyDescent="0.25">
      <c r="A18" s="93">
        <v>8</v>
      </c>
      <c r="B18" s="68"/>
      <c r="C18" s="68"/>
      <c r="D18" s="68"/>
      <c r="E18" s="68"/>
      <c r="F18" s="68"/>
      <c r="G18" s="94" t="str">
        <f t="shared" si="0"/>
        <v/>
      </c>
    </row>
    <row r="19" spans="1:7" ht="19.5" customHeight="1" x14ac:dyDescent="0.25">
      <c r="A19" s="93">
        <v>9</v>
      </c>
      <c r="B19" s="68"/>
      <c r="C19" s="68"/>
      <c r="D19" s="68"/>
      <c r="E19" s="68"/>
      <c r="F19" s="68"/>
      <c r="G19" s="94" t="str">
        <f t="shared" si="0"/>
        <v/>
      </c>
    </row>
    <row r="20" spans="1:7" ht="19.5" customHeight="1" x14ac:dyDescent="0.25">
      <c r="A20" s="93">
        <v>10</v>
      </c>
      <c r="B20" s="68"/>
      <c r="C20" s="68"/>
      <c r="D20" s="68"/>
      <c r="E20" s="68"/>
      <c r="F20" s="68"/>
      <c r="G20" s="94" t="str">
        <f t="shared" si="0"/>
        <v/>
      </c>
    </row>
    <row r="21" spans="1:7" ht="19.5" customHeight="1" x14ac:dyDescent="0.25">
      <c r="A21" s="93">
        <v>11</v>
      </c>
      <c r="B21" s="68"/>
      <c r="C21" s="68"/>
      <c r="D21" s="68"/>
      <c r="E21" s="68"/>
      <c r="F21" s="68"/>
      <c r="G21" s="94" t="str">
        <f t="shared" si="0"/>
        <v/>
      </c>
    </row>
    <row r="22" spans="1:7" ht="19.5" customHeight="1" x14ac:dyDescent="0.25">
      <c r="A22" s="93">
        <v>12</v>
      </c>
      <c r="B22" s="68"/>
      <c r="C22" s="68"/>
      <c r="D22" s="68"/>
      <c r="E22" s="68"/>
      <c r="F22" s="68"/>
      <c r="G22" s="94" t="str">
        <f t="shared" si="0"/>
        <v/>
      </c>
    </row>
    <row r="23" spans="1:7" ht="19.5" customHeight="1" x14ac:dyDescent="0.25">
      <c r="A23" s="93">
        <v>13</v>
      </c>
      <c r="B23" s="68"/>
      <c r="C23" s="68"/>
      <c r="D23" s="68"/>
      <c r="E23" s="68"/>
      <c r="F23" s="68"/>
      <c r="G23" s="94" t="str">
        <f t="shared" si="0"/>
        <v/>
      </c>
    </row>
    <row r="24" spans="1:7" ht="19.5" customHeight="1" x14ac:dyDescent="0.25">
      <c r="A24" s="93">
        <v>14</v>
      </c>
      <c r="B24" s="68"/>
      <c r="C24" s="68"/>
      <c r="D24" s="68"/>
      <c r="E24" s="68"/>
      <c r="F24" s="68"/>
      <c r="G24" s="94" t="str">
        <f t="shared" si="0"/>
        <v/>
      </c>
    </row>
    <row r="25" spans="1:7" ht="19.5" customHeight="1" x14ac:dyDescent="0.25">
      <c r="A25" s="93">
        <v>15</v>
      </c>
      <c r="B25" s="68"/>
      <c r="C25" s="68"/>
      <c r="D25" s="68"/>
      <c r="E25" s="68"/>
      <c r="F25" s="68"/>
      <c r="G25" s="94" t="str">
        <f t="shared" si="0"/>
        <v/>
      </c>
    </row>
    <row r="26" spans="1:7" ht="19.5" customHeight="1" x14ac:dyDescent="0.25">
      <c r="A26" s="93">
        <v>16</v>
      </c>
      <c r="B26" s="68"/>
      <c r="C26" s="68"/>
      <c r="D26" s="68"/>
      <c r="E26" s="68"/>
      <c r="F26" s="68"/>
      <c r="G26" s="94" t="str">
        <f t="shared" si="0"/>
        <v/>
      </c>
    </row>
    <row r="27" spans="1:7" ht="19.5" customHeight="1" x14ac:dyDescent="0.25">
      <c r="A27" s="93">
        <v>17</v>
      </c>
      <c r="B27" s="68"/>
      <c r="C27" s="68"/>
      <c r="D27" s="68"/>
      <c r="E27" s="68"/>
      <c r="F27" s="68"/>
      <c r="G27" s="94" t="str">
        <f t="shared" si="0"/>
        <v/>
      </c>
    </row>
    <row r="28" spans="1:7" ht="19.5" customHeight="1" x14ac:dyDescent="0.25">
      <c r="A28" s="93">
        <v>18</v>
      </c>
      <c r="B28" s="68"/>
      <c r="C28" s="68"/>
      <c r="D28" s="68"/>
      <c r="E28" s="68"/>
      <c r="F28" s="68"/>
      <c r="G28" s="94" t="str">
        <f t="shared" si="0"/>
        <v/>
      </c>
    </row>
    <row r="29" spans="1:7" ht="19.5" customHeight="1" x14ac:dyDescent="0.25">
      <c r="A29" s="93">
        <v>19</v>
      </c>
      <c r="B29" s="68"/>
      <c r="C29" s="68"/>
      <c r="D29" s="68"/>
      <c r="E29" s="68"/>
      <c r="F29" s="68"/>
      <c r="G29" s="94" t="str">
        <f t="shared" si="0"/>
        <v/>
      </c>
    </row>
    <row r="30" spans="1:7" ht="19.5" customHeight="1" x14ac:dyDescent="0.25">
      <c r="A30" s="93">
        <v>20</v>
      </c>
      <c r="B30" s="68"/>
      <c r="C30" s="68"/>
      <c r="D30" s="68"/>
      <c r="E30" s="68"/>
      <c r="F30" s="68"/>
      <c r="G30" s="94" t="str">
        <f t="shared" si="0"/>
        <v/>
      </c>
    </row>
    <row r="32" spans="1:7" ht="15" customHeight="1" x14ac:dyDescent="0.25">
      <c r="A32" s="414" t="s">
        <v>581</v>
      </c>
      <c r="B32" s="361"/>
      <c r="C32" s="361"/>
      <c r="D32" s="361"/>
      <c r="E32" s="361"/>
      <c r="F32" s="361"/>
      <c r="G32" s="95">
        <f>SUM(G11:G30)</f>
        <v>0</v>
      </c>
    </row>
    <row r="33" spans="1:8" ht="15" customHeight="1" x14ac:dyDescent="0.25">
      <c r="A33" s="384" t="s">
        <v>582</v>
      </c>
      <c r="B33" s="361"/>
      <c r="C33" s="361"/>
      <c r="D33" s="361"/>
      <c r="E33" s="361"/>
      <c r="F33" s="361"/>
      <c r="G33" s="73"/>
    </row>
    <row r="34" spans="1:8" ht="15" customHeight="1" x14ac:dyDescent="0.25">
      <c r="A34" s="414" t="s">
        <v>583</v>
      </c>
      <c r="B34" s="361"/>
      <c r="C34" s="361"/>
      <c r="D34" s="361"/>
      <c r="E34" s="361"/>
      <c r="F34" s="361"/>
      <c r="G34" s="66">
        <f>G32+G33</f>
        <v>0</v>
      </c>
    </row>
    <row r="35" spans="1:8" ht="15" customHeight="1" x14ac:dyDescent="0.25">
      <c r="A35" s="414" t="s">
        <v>464</v>
      </c>
      <c r="B35" s="361"/>
      <c r="C35" s="361"/>
      <c r="D35" s="361"/>
      <c r="E35" s="361"/>
      <c r="F35" s="361"/>
      <c r="G35" s="96">
        <f>IF(G34&gt;0,G32/G34,0)</f>
        <v>0</v>
      </c>
    </row>
    <row r="38" spans="1:8" ht="15" customHeight="1" x14ac:dyDescent="0.25">
      <c r="A38" s="386" t="s">
        <v>584</v>
      </c>
      <c r="B38" s="361"/>
      <c r="C38" s="361"/>
      <c r="D38" s="361"/>
      <c r="E38" s="383" t="s">
        <v>585</v>
      </c>
      <c r="F38" s="361"/>
      <c r="G38" s="361"/>
      <c r="H38" s="361"/>
    </row>
    <row r="39" spans="1:8" ht="15" customHeight="1" x14ac:dyDescent="0.25">
      <c r="F39" s="79"/>
    </row>
    <row r="40" spans="1:8" ht="15" customHeight="1" x14ac:dyDescent="0.25">
      <c r="A40" s="43" t="s">
        <v>586</v>
      </c>
      <c r="B40" s="73">
        <f>G32</f>
        <v>0</v>
      </c>
      <c r="E40" s="43" t="s">
        <v>587</v>
      </c>
      <c r="F40" s="312"/>
    </row>
    <row r="41" spans="1:8" ht="15" customHeight="1" x14ac:dyDescent="0.25">
      <c r="A41" s="43" t="s">
        <v>588</v>
      </c>
      <c r="B41" s="80" t="s">
        <v>589</v>
      </c>
      <c r="E41" s="43" t="s">
        <v>590</v>
      </c>
      <c r="F41" s="312"/>
    </row>
    <row r="42" spans="1:8" ht="15" customHeight="1" x14ac:dyDescent="0.25">
      <c r="A42" s="49" t="s">
        <v>591</v>
      </c>
      <c r="B42" s="310">
        <f>G32*0.7</f>
        <v>0</v>
      </c>
      <c r="E42" s="43" t="s">
        <v>592</v>
      </c>
      <c r="F42" s="312"/>
    </row>
    <row r="43" spans="1:8" ht="15" customHeight="1" x14ac:dyDescent="0.25">
      <c r="E43" s="43" t="s">
        <v>593</v>
      </c>
      <c r="F43" s="312"/>
    </row>
    <row r="44" spans="1:8" ht="15" customHeight="1" x14ac:dyDescent="0.25">
      <c r="E44" s="43" t="s">
        <v>594</v>
      </c>
      <c r="F44" s="312"/>
    </row>
    <row r="45" spans="1:8" ht="15" customHeight="1" x14ac:dyDescent="0.25">
      <c r="A45" s="383" t="s">
        <v>558</v>
      </c>
      <c r="B45" s="415"/>
      <c r="C45" s="361"/>
      <c r="E45" s="43" t="s">
        <v>595</v>
      </c>
      <c r="F45" s="312"/>
    </row>
    <row r="46" spans="1:8" ht="15" customHeight="1" x14ac:dyDescent="0.25">
      <c r="B46" s="304"/>
      <c r="E46" s="43" t="s">
        <v>596</v>
      </c>
      <c r="F46" s="312"/>
    </row>
    <row r="47" spans="1:8" ht="15" customHeight="1" x14ac:dyDescent="0.25">
      <c r="A47" s="43" t="s">
        <v>597</v>
      </c>
      <c r="B47" s="74">
        <f>B42</f>
        <v>0</v>
      </c>
      <c r="E47" s="43" t="s">
        <v>598</v>
      </c>
      <c r="F47" s="312"/>
    </row>
    <row r="48" spans="1:8" ht="15" customHeight="1" x14ac:dyDescent="0.25">
      <c r="A48" s="43" t="s">
        <v>599</v>
      </c>
      <c r="B48" s="306">
        <f>F59</f>
        <v>0</v>
      </c>
      <c r="E48" s="43" t="s">
        <v>600</v>
      </c>
      <c r="F48" s="306"/>
    </row>
    <row r="49" spans="1:8" x14ac:dyDescent="0.25">
      <c r="B49" s="304"/>
      <c r="F49" s="304"/>
    </row>
    <row r="50" spans="1:8" ht="15" customHeight="1" x14ac:dyDescent="0.25">
      <c r="A50" s="57" t="s">
        <v>562</v>
      </c>
      <c r="B50" s="97" t="str">
        <f>IF(B48&gt;B47,"Actual Expense","Standard Mileage")</f>
        <v>Standard Mileage</v>
      </c>
      <c r="E50" s="49" t="s">
        <v>601</v>
      </c>
      <c r="F50" s="312">
        <f>SUM(F40:F48)</f>
        <v>0</v>
      </c>
    </row>
    <row r="51" spans="1:8" ht="15" customHeight="1" x14ac:dyDescent="0.25">
      <c r="A51" s="57" t="s">
        <v>563</v>
      </c>
      <c r="B51" s="311">
        <f>MAX(B47,B48)</f>
        <v>0</v>
      </c>
    </row>
    <row r="52" spans="1:8" ht="15" customHeight="1" x14ac:dyDescent="0.25">
      <c r="E52" s="411" t="s">
        <v>602</v>
      </c>
      <c r="F52" s="361"/>
      <c r="G52" s="361"/>
      <c r="H52" s="361"/>
    </row>
    <row r="53" spans="1:8" ht="15" customHeight="1" x14ac:dyDescent="0.25">
      <c r="A53" s="43" t="s">
        <v>603</v>
      </c>
      <c r="B53" s="80">
        <f>ABS(B48-B47)</f>
        <v>0</v>
      </c>
      <c r="E53" s="43" t="s">
        <v>604</v>
      </c>
      <c r="F53" s="78"/>
    </row>
    <row r="54" spans="1:8" ht="15" customHeight="1" x14ac:dyDescent="0.25">
      <c r="E54" s="43" t="s">
        <v>605</v>
      </c>
      <c r="F54" s="42" t="s">
        <v>606</v>
      </c>
    </row>
    <row r="55" spans="1:8" ht="15" customHeight="1" x14ac:dyDescent="0.25">
      <c r="E55" s="43" t="s">
        <v>535</v>
      </c>
      <c r="F55" s="306"/>
    </row>
    <row r="56" spans="1:8" ht="15" customHeight="1" x14ac:dyDescent="0.25">
      <c r="F56" s="304"/>
    </row>
    <row r="57" spans="1:8" ht="15" customHeight="1" x14ac:dyDescent="0.25">
      <c r="E57" s="49" t="s">
        <v>607</v>
      </c>
      <c r="F57" s="312">
        <f>F50+F55</f>
        <v>0</v>
      </c>
    </row>
    <row r="58" spans="1:8" ht="15" customHeight="1" x14ac:dyDescent="0.25">
      <c r="E58" s="43" t="s">
        <v>608</v>
      </c>
      <c r="F58" s="304">
        <f>G35</f>
        <v>0</v>
      </c>
    </row>
    <row r="59" spans="1:8" ht="15" customHeight="1" x14ac:dyDescent="0.25">
      <c r="E59" s="49" t="s">
        <v>609</v>
      </c>
      <c r="F59" s="313">
        <f>F57*G35</f>
        <v>0</v>
      </c>
    </row>
    <row r="61" spans="1:8" ht="15" customHeight="1" x14ac:dyDescent="0.25">
      <c r="A61" s="406" t="s">
        <v>1313</v>
      </c>
      <c r="B61" s="361"/>
      <c r="C61" s="361"/>
      <c r="D61" s="361"/>
      <c r="E61" s="361"/>
      <c r="F61" s="361"/>
      <c r="G61" s="361"/>
      <c r="H61" s="361"/>
    </row>
    <row r="62" spans="1:8" ht="15" customHeight="1" x14ac:dyDescent="0.25">
      <c r="A62" s="405" t="s">
        <v>81</v>
      </c>
      <c r="B62" s="361"/>
      <c r="C62" s="361"/>
      <c r="D62" s="361"/>
      <c r="E62" s="361"/>
      <c r="F62" s="361"/>
      <c r="G62" s="361"/>
      <c r="H62" s="361"/>
    </row>
  </sheetData>
  <mergeCells count="16">
    <mergeCell ref="A62:H62"/>
    <mergeCell ref="A45:C45"/>
    <mergeCell ref="A8:G8"/>
    <mergeCell ref="B4:C4"/>
    <mergeCell ref="B5:C5"/>
    <mergeCell ref="A1:H1"/>
    <mergeCell ref="A61:H61"/>
    <mergeCell ref="A2:H2"/>
    <mergeCell ref="A32:F32"/>
    <mergeCell ref="A38:D38"/>
    <mergeCell ref="E38:H38"/>
    <mergeCell ref="A34:F34"/>
    <mergeCell ref="A35:F35"/>
    <mergeCell ref="E52:H52"/>
    <mergeCell ref="A33:F33"/>
    <mergeCell ref="E4:F4"/>
  </mergeCells>
  <pageMargins left="0.5" right="0.5" top="0.75" bottom="0.75" header="0.3" footer="0.3"/>
  <pageSetup fitToHeight="0" orientation="landscape" horizontalDpi="300" verticalDpi="300"/>
  <headerFooter>
    <oddHeader>&amp;C&amp;9 &amp;K64748bEiduk Tax &amp;&amp; Wealth  |  The Eiduk System™</oddHeader>
    <oddFooter>&amp;L&amp;8 &amp;K64748bDIY Toolkit v3.0  |  © 2026 Eiduk Tax &amp;&amp; Wealth&amp;R&amp;8 &amp;K64748bPage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8"/>
  <sheetViews>
    <sheetView topLeftCell="A3" zoomScaleNormal="100" workbookViewId="0">
      <selection activeCell="E23" sqref="E23"/>
    </sheetView>
  </sheetViews>
  <sheetFormatPr defaultColWidth="8.5703125" defaultRowHeight="15" x14ac:dyDescent="0.25"/>
  <cols>
    <col min="1" max="1" width="30" customWidth="1"/>
    <col min="2" max="2" width="14" customWidth="1"/>
    <col min="3" max="3" width="16" customWidth="1"/>
    <col min="4" max="4" width="18" customWidth="1"/>
    <col min="5" max="5" width="12" customWidth="1"/>
    <col min="7" max="7" width="16" customWidth="1"/>
  </cols>
  <sheetData>
    <row r="1" spans="1:10" ht="21.75" customHeight="1" x14ac:dyDescent="0.35">
      <c r="A1" s="417" t="s">
        <v>610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15" customHeight="1" x14ac:dyDescent="0.25">
      <c r="A2" s="423" t="s">
        <v>611</v>
      </c>
      <c r="B2" s="361"/>
      <c r="C2" s="361"/>
      <c r="D2" s="361"/>
      <c r="E2" s="361"/>
      <c r="F2" s="361"/>
      <c r="G2" s="361"/>
      <c r="H2" s="361"/>
      <c r="I2" s="361"/>
      <c r="J2" s="361"/>
    </row>
    <row r="4" spans="1:10" ht="15" customHeight="1" x14ac:dyDescent="0.25">
      <c r="A4" s="424" t="s">
        <v>612</v>
      </c>
      <c r="B4" s="361"/>
      <c r="C4" s="361"/>
      <c r="D4" s="361"/>
      <c r="E4" s="361"/>
      <c r="F4" s="361"/>
      <c r="G4" s="361"/>
      <c r="H4" s="425"/>
      <c r="I4" s="420"/>
      <c r="J4" s="426"/>
    </row>
    <row r="5" spans="1:10" ht="15" customHeight="1" x14ac:dyDescent="0.25">
      <c r="A5" s="419" t="s">
        <v>1342</v>
      </c>
      <c r="B5" s="361"/>
      <c r="C5" s="361"/>
      <c r="D5" s="361"/>
      <c r="E5" s="361"/>
      <c r="F5" s="361"/>
      <c r="G5" s="361"/>
      <c r="H5" s="361"/>
      <c r="I5" s="361"/>
      <c r="J5" s="429"/>
    </row>
    <row r="6" spans="1:10" ht="15" customHeight="1" x14ac:dyDescent="0.25">
      <c r="A6" s="419" t="s">
        <v>613</v>
      </c>
      <c r="B6" s="361"/>
      <c r="C6" s="361"/>
      <c r="D6" s="361"/>
      <c r="E6" s="361"/>
      <c r="F6" s="361"/>
      <c r="G6" s="361"/>
      <c r="H6" s="361"/>
      <c r="I6" s="420"/>
      <c r="J6" s="361"/>
    </row>
    <row r="8" spans="1:10" ht="15" customHeight="1" x14ac:dyDescent="0.25">
      <c r="A8" s="427" t="s">
        <v>614</v>
      </c>
      <c r="B8" s="361"/>
      <c r="C8" s="361"/>
      <c r="D8" s="361"/>
      <c r="E8" s="361"/>
      <c r="F8" s="361"/>
      <c r="G8" s="361"/>
      <c r="H8" s="361"/>
      <c r="I8" s="361"/>
      <c r="J8" s="361"/>
    </row>
    <row r="9" spans="1:10" ht="15" customHeight="1" x14ac:dyDescent="0.25">
      <c r="A9" s="98" t="s">
        <v>615</v>
      </c>
      <c r="B9" s="418" t="s">
        <v>1314</v>
      </c>
      <c r="C9" s="361"/>
      <c r="D9" s="361"/>
      <c r="E9" s="361"/>
      <c r="F9" s="361"/>
      <c r="G9" s="361"/>
      <c r="H9" s="361"/>
      <c r="I9" s="361"/>
      <c r="J9" s="361"/>
    </row>
    <row r="10" spans="1:10" ht="15" customHeight="1" x14ac:dyDescent="0.25">
      <c r="A10" s="98" t="s">
        <v>1343</v>
      </c>
      <c r="B10" s="418" t="s">
        <v>1344</v>
      </c>
      <c r="C10" s="361"/>
      <c r="D10" s="361"/>
      <c r="E10" s="361"/>
      <c r="F10" s="361"/>
      <c r="G10" s="361"/>
      <c r="H10" s="361"/>
      <c r="I10" s="361"/>
      <c r="J10" s="361"/>
    </row>
    <row r="11" spans="1:10" ht="15" customHeight="1" x14ac:dyDescent="0.25">
      <c r="A11" s="98" t="s">
        <v>616</v>
      </c>
      <c r="B11" s="418" t="s">
        <v>617</v>
      </c>
      <c r="C11" s="361"/>
      <c r="D11" s="361"/>
      <c r="E11" s="361"/>
      <c r="F11" s="361"/>
      <c r="G11" s="361"/>
      <c r="H11" s="361"/>
      <c r="I11" s="361"/>
      <c r="J11" s="361"/>
    </row>
    <row r="12" spans="1:10" ht="15" customHeight="1" x14ac:dyDescent="0.25">
      <c r="A12" s="98" t="s">
        <v>618</v>
      </c>
      <c r="B12" s="418" t="s">
        <v>619</v>
      </c>
      <c r="C12" s="361"/>
      <c r="D12" s="361"/>
      <c r="E12" s="361"/>
      <c r="F12" s="361"/>
      <c r="G12" s="361"/>
      <c r="H12" s="361"/>
      <c r="I12" s="361"/>
      <c r="J12" s="361"/>
    </row>
    <row r="14" spans="1:10" ht="15" customHeight="1" x14ac:dyDescent="0.25">
      <c r="A14" s="422" t="s">
        <v>620</v>
      </c>
      <c r="B14" s="361"/>
      <c r="C14" s="361"/>
      <c r="D14" s="361"/>
      <c r="E14" s="361"/>
      <c r="F14" s="361"/>
      <c r="G14" s="361"/>
      <c r="H14" s="361"/>
      <c r="I14" s="361"/>
      <c r="J14" s="361"/>
    </row>
    <row r="15" spans="1:10" ht="15" customHeight="1" x14ac:dyDescent="0.25">
      <c r="A15" s="100" t="s">
        <v>621</v>
      </c>
      <c r="B15" s="100" t="s">
        <v>622</v>
      </c>
      <c r="C15" s="100" t="s">
        <v>623</v>
      </c>
      <c r="D15" s="100" t="s">
        <v>624</v>
      </c>
      <c r="E15" s="100" t="s">
        <v>625</v>
      </c>
      <c r="F15" s="100" t="s">
        <v>626</v>
      </c>
      <c r="G15" s="100" t="s">
        <v>627</v>
      </c>
    </row>
    <row r="16" spans="1:10" ht="15" customHeight="1" x14ac:dyDescent="0.25">
      <c r="A16" s="101" t="s">
        <v>628</v>
      </c>
      <c r="B16" s="101" t="s">
        <v>629</v>
      </c>
      <c r="C16" s="101" t="s">
        <v>630</v>
      </c>
      <c r="D16" s="101" t="s">
        <v>631</v>
      </c>
      <c r="E16" s="101" t="s">
        <v>632</v>
      </c>
      <c r="F16" s="101" t="s">
        <v>633</v>
      </c>
      <c r="G16" s="101" t="s">
        <v>634</v>
      </c>
    </row>
    <row r="17" spans="1:10" ht="15" customHeight="1" x14ac:dyDescent="0.25">
      <c r="A17" s="418" t="s">
        <v>635</v>
      </c>
      <c r="B17" s="361"/>
      <c r="C17" s="361"/>
      <c r="D17" s="361"/>
      <c r="E17" s="361"/>
      <c r="F17" s="361"/>
      <c r="G17" s="361"/>
      <c r="H17" s="361"/>
      <c r="I17" s="361"/>
      <c r="J17" s="361"/>
    </row>
    <row r="19" spans="1:10" ht="15" customHeight="1" x14ac:dyDescent="0.25">
      <c r="A19" s="427" t="s">
        <v>636</v>
      </c>
      <c r="B19" s="361"/>
      <c r="C19" s="361"/>
      <c r="D19" s="361"/>
      <c r="E19" s="361"/>
      <c r="F19" s="361"/>
      <c r="G19" s="361"/>
      <c r="H19" s="361"/>
      <c r="I19" s="361"/>
      <c r="J19" s="361"/>
    </row>
    <row r="20" spans="1:10" ht="15" customHeight="1" x14ac:dyDescent="0.25">
      <c r="A20" s="418" t="s">
        <v>637</v>
      </c>
      <c r="B20" s="361"/>
      <c r="C20" s="361"/>
      <c r="D20" s="361"/>
      <c r="E20" s="361"/>
      <c r="F20" s="361"/>
      <c r="G20" s="361"/>
      <c r="H20" s="361"/>
      <c r="I20" s="361"/>
      <c r="J20" s="361"/>
    </row>
    <row r="22" spans="1:10" ht="15" customHeight="1" x14ac:dyDescent="0.25">
      <c r="A22" s="102" t="s">
        <v>638</v>
      </c>
      <c r="B22" s="102" t="s">
        <v>639</v>
      </c>
      <c r="C22" s="102" t="s">
        <v>640</v>
      </c>
      <c r="D22" s="102" t="s">
        <v>641</v>
      </c>
      <c r="E22" s="102" t="s">
        <v>642</v>
      </c>
      <c r="F22" s="102" t="s">
        <v>473</v>
      </c>
      <c r="G22" s="102" t="s">
        <v>643</v>
      </c>
      <c r="H22" s="102" t="s">
        <v>644</v>
      </c>
      <c r="I22" s="102" t="s">
        <v>645</v>
      </c>
      <c r="J22" s="102" t="s">
        <v>646</v>
      </c>
    </row>
    <row r="23" spans="1:10" ht="15" customHeight="1" x14ac:dyDescent="0.25">
      <c r="A23" s="103"/>
      <c r="B23" s="104"/>
      <c r="C23" s="295"/>
      <c r="D23" s="104"/>
      <c r="E23" s="104"/>
      <c r="F23" s="106">
        <v>1</v>
      </c>
      <c r="G23" s="297"/>
      <c r="H23" s="298">
        <f>IF(UPPER(D23)="BONUS",C23*F23,0)</f>
        <v>0</v>
      </c>
      <c r="I23" s="298">
        <f>IF(UPPER(D23)="MACRS",C23*F23*IF(E23=3,0.3333,IF(E23=5,0.2,IF(E23=7,0.1429,IF(E23=15,0.05,IF(E23=27.5,0.01818,IF(E23=39,0.01282,0)))))),IF(UPPER(D23)="SL",IF(E23&gt;0,C23*F23/E23,0),0))</f>
        <v>0</v>
      </c>
      <c r="J23" s="299">
        <f>G23+H23+I23</f>
        <v>0</v>
      </c>
    </row>
    <row r="24" spans="1:10" ht="15" customHeight="1" x14ac:dyDescent="0.25">
      <c r="A24" s="103"/>
      <c r="B24" s="104"/>
      <c r="C24" s="295"/>
      <c r="D24" s="104"/>
      <c r="E24" s="104"/>
      <c r="F24" s="106">
        <v>1</v>
      </c>
      <c r="G24" s="297"/>
      <c r="H24" s="298">
        <f t="shared" ref="H24:H34" si="0">IF(UPPER(D24)="BONUS",C24*F24,0)</f>
        <v>0</v>
      </c>
      <c r="I24" s="298">
        <f t="shared" ref="I24:I34" si="1">IF(UPPER(D24)="MACRS",C24*F24*IF(E24=3,0.3333,IF(E24=5,0.2,IF(E24=7,0.1429,IF(E24=15,0.05,IF(E24=27.5,0.01818,IF(E24=39,0.01282,0)))))),IF(UPPER(D24)="SL",IF(E24&gt;0,C24*F24/E24,0),0))</f>
        <v>0</v>
      </c>
      <c r="J24" s="299">
        <f t="shared" ref="J24:J34" si="2">G24+H24+I24</f>
        <v>0</v>
      </c>
    </row>
    <row r="25" spans="1:10" ht="15" customHeight="1" x14ac:dyDescent="0.25">
      <c r="A25" s="103"/>
      <c r="B25" s="104"/>
      <c r="C25" s="295"/>
      <c r="D25" s="104"/>
      <c r="E25" s="104"/>
      <c r="F25" s="106">
        <v>1</v>
      </c>
      <c r="G25" s="297"/>
      <c r="H25" s="298">
        <f t="shared" si="0"/>
        <v>0</v>
      </c>
      <c r="I25" s="298">
        <f t="shared" si="1"/>
        <v>0</v>
      </c>
      <c r="J25" s="299">
        <f t="shared" si="2"/>
        <v>0</v>
      </c>
    </row>
    <row r="26" spans="1:10" ht="15" customHeight="1" x14ac:dyDescent="0.25">
      <c r="A26" s="103"/>
      <c r="B26" s="104"/>
      <c r="C26" s="295"/>
      <c r="D26" s="104"/>
      <c r="E26" s="104"/>
      <c r="F26" s="106">
        <v>1</v>
      </c>
      <c r="G26" s="297"/>
      <c r="H26" s="298">
        <f t="shared" si="0"/>
        <v>0</v>
      </c>
      <c r="I26" s="298">
        <f t="shared" si="1"/>
        <v>0</v>
      </c>
      <c r="J26" s="299">
        <f t="shared" si="2"/>
        <v>0</v>
      </c>
    </row>
    <row r="27" spans="1:10" ht="15" customHeight="1" x14ac:dyDescent="0.25">
      <c r="A27" s="103"/>
      <c r="B27" s="104"/>
      <c r="C27" s="295"/>
      <c r="D27" s="104"/>
      <c r="E27" s="104"/>
      <c r="F27" s="106">
        <v>1</v>
      </c>
      <c r="G27" s="297"/>
      <c r="H27" s="298">
        <f t="shared" si="0"/>
        <v>0</v>
      </c>
      <c r="I27" s="298">
        <f t="shared" si="1"/>
        <v>0</v>
      </c>
      <c r="J27" s="299">
        <f t="shared" si="2"/>
        <v>0</v>
      </c>
    </row>
    <row r="28" spans="1:10" ht="15" customHeight="1" x14ac:dyDescent="0.25">
      <c r="A28" s="103"/>
      <c r="B28" s="104"/>
      <c r="C28" s="295"/>
      <c r="D28" s="104"/>
      <c r="E28" s="104"/>
      <c r="F28" s="106">
        <v>1</v>
      </c>
      <c r="G28" s="297"/>
      <c r="H28" s="298">
        <f t="shared" si="0"/>
        <v>0</v>
      </c>
      <c r="I28" s="298">
        <f t="shared" si="1"/>
        <v>0</v>
      </c>
      <c r="J28" s="299">
        <f t="shared" si="2"/>
        <v>0</v>
      </c>
    </row>
    <row r="29" spans="1:10" ht="15" customHeight="1" x14ac:dyDescent="0.25">
      <c r="A29" s="103"/>
      <c r="B29" s="104"/>
      <c r="C29" s="295"/>
      <c r="D29" s="104"/>
      <c r="E29" s="104"/>
      <c r="F29" s="106">
        <v>1</v>
      </c>
      <c r="G29" s="297"/>
      <c r="H29" s="298">
        <f t="shared" si="0"/>
        <v>0</v>
      </c>
      <c r="I29" s="298">
        <f t="shared" si="1"/>
        <v>0</v>
      </c>
      <c r="J29" s="299">
        <f t="shared" si="2"/>
        <v>0</v>
      </c>
    </row>
    <row r="30" spans="1:10" ht="15" customHeight="1" x14ac:dyDescent="0.25">
      <c r="A30" s="103"/>
      <c r="B30" s="104"/>
      <c r="C30" s="295"/>
      <c r="D30" s="104"/>
      <c r="E30" s="104"/>
      <c r="F30" s="106">
        <v>1</v>
      </c>
      <c r="G30" s="297"/>
      <c r="H30" s="298">
        <f t="shared" si="0"/>
        <v>0</v>
      </c>
      <c r="I30" s="298">
        <f t="shared" si="1"/>
        <v>0</v>
      </c>
      <c r="J30" s="299">
        <f t="shared" si="2"/>
        <v>0</v>
      </c>
    </row>
    <row r="31" spans="1:10" ht="15" customHeight="1" x14ac:dyDescent="0.25">
      <c r="A31" s="103"/>
      <c r="B31" s="104"/>
      <c r="C31" s="295"/>
      <c r="D31" s="104"/>
      <c r="E31" s="104"/>
      <c r="F31" s="106">
        <v>1</v>
      </c>
      <c r="G31" s="297"/>
      <c r="H31" s="298">
        <f t="shared" si="0"/>
        <v>0</v>
      </c>
      <c r="I31" s="298">
        <f t="shared" si="1"/>
        <v>0</v>
      </c>
      <c r="J31" s="299">
        <f t="shared" si="2"/>
        <v>0</v>
      </c>
    </row>
    <row r="32" spans="1:10" ht="15" customHeight="1" x14ac:dyDescent="0.25">
      <c r="A32" s="103"/>
      <c r="B32" s="104"/>
      <c r="C32" s="295"/>
      <c r="D32" s="104"/>
      <c r="E32" s="104"/>
      <c r="F32" s="106">
        <v>1</v>
      </c>
      <c r="G32" s="297"/>
      <c r="H32" s="298">
        <f t="shared" si="0"/>
        <v>0</v>
      </c>
      <c r="I32" s="298">
        <f t="shared" si="1"/>
        <v>0</v>
      </c>
      <c r="J32" s="299">
        <f t="shared" si="2"/>
        <v>0</v>
      </c>
    </row>
    <row r="33" spans="1:10" ht="15" customHeight="1" x14ac:dyDescent="0.25">
      <c r="A33" s="103"/>
      <c r="B33" s="104"/>
      <c r="C33" s="295"/>
      <c r="D33" s="104"/>
      <c r="E33" s="104"/>
      <c r="F33" s="106">
        <v>1</v>
      </c>
      <c r="G33" s="297"/>
      <c r="H33" s="298">
        <f t="shared" si="0"/>
        <v>0</v>
      </c>
      <c r="I33" s="298">
        <f t="shared" si="1"/>
        <v>0</v>
      </c>
      <c r="J33" s="299">
        <f t="shared" si="2"/>
        <v>0</v>
      </c>
    </row>
    <row r="34" spans="1:10" ht="15" customHeight="1" x14ac:dyDescent="0.25">
      <c r="A34" s="103"/>
      <c r="B34" s="104"/>
      <c r="C34" s="295"/>
      <c r="D34" s="104"/>
      <c r="E34" s="104"/>
      <c r="F34" s="106">
        <v>1</v>
      </c>
      <c r="G34" s="297"/>
      <c r="H34" s="298">
        <f t="shared" si="0"/>
        <v>0</v>
      </c>
      <c r="I34" s="298">
        <f t="shared" si="1"/>
        <v>0</v>
      </c>
      <c r="J34" s="299">
        <f t="shared" si="2"/>
        <v>0</v>
      </c>
    </row>
    <row r="35" spans="1:10" ht="15" customHeight="1" x14ac:dyDescent="0.25">
      <c r="A35" s="108" t="s">
        <v>647</v>
      </c>
      <c r="B35" s="109"/>
      <c r="C35" s="296">
        <f>SUM(C23:C34)</f>
        <v>0</v>
      </c>
      <c r="D35" s="109"/>
      <c r="E35" s="109"/>
      <c r="F35" s="109"/>
      <c r="G35" s="296">
        <f>SUM(G23:G34)</f>
        <v>0</v>
      </c>
      <c r="H35" s="296">
        <f>SUM(H23:H34)</f>
        <v>0</v>
      </c>
      <c r="I35" s="296">
        <f>SUM(I23:I34)</f>
        <v>0</v>
      </c>
      <c r="J35" s="296">
        <f>SUM(J23:J34)</f>
        <v>0</v>
      </c>
    </row>
    <row r="37" spans="1:10" ht="15" customHeight="1" x14ac:dyDescent="0.25">
      <c r="A37" s="422" t="s">
        <v>648</v>
      </c>
      <c r="B37" s="361"/>
      <c r="C37" s="361"/>
      <c r="D37" s="361"/>
      <c r="E37" s="361"/>
      <c r="G37" s="422" t="s">
        <v>649</v>
      </c>
      <c r="H37" s="361"/>
      <c r="I37" s="361"/>
      <c r="J37" s="361"/>
    </row>
    <row r="39" spans="1:10" ht="15" customHeight="1" x14ac:dyDescent="0.25">
      <c r="A39" s="98" t="s">
        <v>650</v>
      </c>
      <c r="B39" s="300">
        <f>G35</f>
        <v>0</v>
      </c>
      <c r="G39" s="98" t="s">
        <v>651</v>
      </c>
      <c r="H39" s="300">
        <f>H35</f>
        <v>0</v>
      </c>
    </row>
    <row r="40" spans="1:10" ht="15" customHeight="1" x14ac:dyDescent="0.25">
      <c r="A40" s="98" t="s">
        <v>652</v>
      </c>
      <c r="B40" s="300">
        <v>2500000</v>
      </c>
      <c r="G40" s="98" t="s">
        <v>653</v>
      </c>
      <c r="H40" s="300">
        <f>I35</f>
        <v>0</v>
      </c>
    </row>
    <row r="41" spans="1:10" ht="15" customHeight="1" x14ac:dyDescent="0.25">
      <c r="A41" s="98" t="s">
        <v>654</v>
      </c>
      <c r="B41" s="300">
        <f>B40-B39</f>
        <v>2500000</v>
      </c>
      <c r="G41" s="98" t="s">
        <v>655</v>
      </c>
      <c r="H41" s="300">
        <f>C35-J35</f>
        <v>0</v>
      </c>
    </row>
    <row r="43" spans="1:10" ht="15" customHeight="1" x14ac:dyDescent="0.25">
      <c r="A43" s="418" t="s">
        <v>656</v>
      </c>
      <c r="B43" s="361"/>
      <c r="C43" s="361"/>
      <c r="D43" s="361"/>
      <c r="E43" s="361"/>
      <c r="F43" s="361"/>
      <c r="G43" s="361"/>
      <c r="H43" s="361"/>
      <c r="I43" s="361"/>
      <c r="J43" s="361"/>
    </row>
    <row r="45" spans="1:10" ht="17.25" customHeight="1" x14ac:dyDescent="0.3">
      <c r="A45" s="428" t="s">
        <v>657</v>
      </c>
      <c r="B45" s="361"/>
      <c r="C45" s="361"/>
      <c r="D45" s="361"/>
      <c r="E45" s="361"/>
      <c r="F45" s="361"/>
      <c r="G45" s="361"/>
      <c r="H45" s="301">
        <f>J35</f>
        <v>0</v>
      </c>
      <c r="I45" s="111"/>
      <c r="J45" s="111"/>
    </row>
    <row r="47" spans="1:10" ht="15" customHeight="1" x14ac:dyDescent="0.25">
      <c r="A47" s="427" t="s">
        <v>658</v>
      </c>
      <c r="B47" s="361"/>
      <c r="C47" s="361"/>
      <c r="D47" s="361"/>
      <c r="E47" s="361"/>
      <c r="F47" s="361"/>
      <c r="G47" s="361"/>
      <c r="H47" s="361"/>
      <c r="I47" s="361"/>
      <c r="J47" s="361"/>
    </row>
    <row r="49" spans="1:5" ht="15" customHeight="1" x14ac:dyDescent="0.25">
      <c r="A49" s="112" t="s">
        <v>659</v>
      </c>
      <c r="B49" s="112" t="s">
        <v>660</v>
      </c>
      <c r="C49" s="421" t="s">
        <v>661</v>
      </c>
      <c r="D49" s="361"/>
      <c r="E49" s="361"/>
    </row>
    <row r="50" spans="1:5" ht="15" customHeight="1" x14ac:dyDescent="0.25">
      <c r="A50" s="113" t="s">
        <v>662</v>
      </c>
      <c r="B50" s="113" t="s">
        <v>663</v>
      </c>
      <c r="C50" s="418" t="s">
        <v>1316</v>
      </c>
      <c r="D50" s="361"/>
      <c r="E50" s="361"/>
    </row>
    <row r="51" spans="1:5" ht="15" customHeight="1" x14ac:dyDescent="0.25">
      <c r="A51" s="113" t="s">
        <v>664</v>
      </c>
      <c r="B51" s="113" t="s">
        <v>665</v>
      </c>
      <c r="C51" s="418" t="s">
        <v>1316</v>
      </c>
      <c r="D51" s="361"/>
      <c r="E51" s="361"/>
    </row>
    <row r="52" spans="1:5" ht="15" customHeight="1" x14ac:dyDescent="0.25">
      <c r="A52" s="113" t="s">
        <v>666</v>
      </c>
      <c r="B52" s="113" t="s">
        <v>665</v>
      </c>
      <c r="C52" s="418" t="s">
        <v>1316</v>
      </c>
      <c r="D52" s="361"/>
      <c r="E52" s="361"/>
    </row>
    <row r="53" spans="1:5" ht="15" customHeight="1" x14ac:dyDescent="0.25">
      <c r="A53" s="113" t="s">
        <v>667</v>
      </c>
      <c r="B53" s="113" t="s">
        <v>668</v>
      </c>
      <c r="C53" s="418" t="s">
        <v>1316</v>
      </c>
      <c r="D53" s="361"/>
      <c r="E53" s="361"/>
    </row>
    <row r="54" spans="1:5" ht="15" customHeight="1" x14ac:dyDescent="0.25">
      <c r="A54" s="113" t="s">
        <v>669</v>
      </c>
      <c r="B54" s="113" t="s">
        <v>670</v>
      </c>
      <c r="C54" s="418" t="s">
        <v>1316</v>
      </c>
      <c r="D54" s="361"/>
      <c r="E54" s="361"/>
    </row>
    <row r="55" spans="1:5" ht="15" customHeight="1" x14ac:dyDescent="0.25">
      <c r="A55" s="113" t="s">
        <v>671</v>
      </c>
      <c r="B55" s="113" t="s">
        <v>672</v>
      </c>
      <c r="C55" s="418" t="s">
        <v>1316</v>
      </c>
      <c r="D55" s="361"/>
      <c r="E55" s="361"/>
    </row>
    <row r="56" spans="1:5" ht="15" customHeight="1" x14ac:dyDescent="0.25">
      <c r="A56" s="113" t="s">
        <v>673</v>
      </c>
      <c r="B56" s="113" t="s">
        <v>674</v>
      </c>
      <c r="C56" s="418" t="s">
        <v>1317</v>
      </c>
      <c r="D56" s="361"/>
      <c r="E56" s="361"/>
    </row>
    <row r="57" spans="1:5" ht="15" customHeight="1" x14ac:dyDescent="0.25">
      <c r="A57" s="113" t="s">
        <v>675</v>
      </c>
      <c r="B57" s="113" t="s">
        <v>676</v>
      </c>
      <c r="C57" s="418" t="s">
        <v>1317</v>
      </c>
      <c r="D57" s="361"/>
      <c r="E57" s="361"/>
    </row>
    <row r="59" spans="1:5" ht="15" customHeight="1" x14ac:dyDescent="0.25">
      <c r="A59" s="98" t="s">
        <v>677</v>
      </c>
    </row>
    <row r="60" spans="1:5" ht="15" customHeight="1" x14ac:dyDescent="0.25">
      <c r="A60" s="99" t="s">
        <v>678</v>
      </c>
    </row>
    <row r="61" spans="1:5" ht="15" customHeight="1" x14ac:dyDescent="0.25">
      <c r="A61" s="99" t="s">
        <v>1345</v>
      </c>
    </row>
    <row r="62" spans="1:5" ht="15" customHeight="1" x14ac:dyDescent="0.25">
      <c r="A62" s="99" t="s">
        <v>679</v>
      </c>
    </row>
    <row r="63" spans="1:5" ht="15" customHeight="1" x14ac:dyDescent="0.25">
      <c r="A63" s="99" t="s">
        <v>680</v>
      </c>
    </row>
    <row r="64" spans="1:5" ht="15" customHeight="1" x14ac:dyDescent="0.25">
      <c r="A64" s="99" t="s">
        <v>1315</v>
      </c>
    </row>
    <row r="67" spans="1:1" ht="15" customHeight="1" x14ac:dyDescent="0.25">
      <c r="A67" s="114" t="s">
        <v>1313</v>
      </c>
    </row>
    <row r="68" spans="1:1" ht="15" customHeight="1" x14ac:dyDescent="0.25">
      <c r="A68" s="114" t="s">
        <v>81</v>
      </c>
    </row>
  </sheetData>
  <mergeCells count="28">
    <mergeCell ref="C54:E54"/>
    <mergeCell ref="A47:J47"/>
    <mergeCell ref="A5:J5"/>
    <mergeCell ref="C50:E50"/>
    <mergeCell ref="B11:J11"/>
    <mergeCell ref="A8:J8"/>
    <mergeCell ref="A14:J14"/>
    <mergeCell ref="B10:J10"/>
    <mergeCell ref="C52:E52"/>
    <mergeCell ref="B9:J9"/>
    <mergeCell ref="A37:E37"/>
    <mergeCell ref="A45:G45"/>
    <mergeCell ref="A1:J1"/>
    <mergeCell ref="C57:E57"/>
    <mergeCell ref="A6:J6"/>
    <mergeCell ref="C53:E53"/>
    <mergeCell ref="C49:E49"/>
    <mergeCell ref="G37:J37"/>
    <mergeCell ref="A2:J2"/>
    <mergeCell ref="B12:J12"/>
    <mergeCell ref="C55:E55"/>
    <mergeCell ref="A17:J17"/>
    <mergeCell ref="A4:J4"/>
    <mergeCell ref="C56:E56"/>
    <mergeCell ref="A20:J20"/>
    <mergeCell ref="A43:J43"/>
    <mergeCell ref="C51:E51"/>
    <mergeCell ref="A19:J19"/>
  </mergeCells>
  <dataValidations count="2">
    <dataValidation type="list" errorStyle="warning" allowBlank="1" showInputMessage="1" showErrorMessage="1" errorTitle="Invalid Method" error="Please select MACRS, BONUS, or SL." promptTitle="Select Method" prompt="Choose: MACRS, BONUS, or SL" sqref="D23:D34" xr:uid="{00000000-0002-0000-0700-000000000000}">
      <formula1>"MACRS,BONUS,SL"</formula1>
    </dataValidation>
    <dataValidation type="list" errorStyle="warning" allowBlank="1" showInputMessage="1" showErrorMessage="1" errorTitle="Non-standard Life" error="Standard MACRS lives are 3, 5, 7, 15, 27.5, or 39 years." promptTitle="Select Life" prompt="Choose: 3, 5, 7, 15, 27.5, or 39 years" sqref="E23:E34" xr:uid="{00000000-0002-0000-0700-000001000000}">
      <formula1>"3,5,7,15,27.5,39"</formula1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2"/>
  <sheetViews>
    <sheetView topLeftCell="A9" zoomScaleNormal="100" workbookViewId="0">
      <selection sqref="A1:F1"/>
    </sheetView>
  </sheetViews>
  <sheetFormatPr defaultColWidth="8.5703125" defaultRowHeight="15" x14ac:dyDescent="0.25"/>
  <cols>
    <col min="1" max="1" width="34" customWidth="1"/>
    <col min="2" max="2" width="18" customWidth="1"/>
  </cols>
  <sheetData>
    <row r="1" spans="1:6" ht="21.75" customHeight="1" x14ac:dyDescent="0.35">
      <c r="A1" s="430" t="s">
        <v>681</v>
      </c>
      <c r="B1" s="361"/>
      <c r="C1" s="361"/>
      <c r="D1" s="361"/>
      <c r="E1" s="361"/>
      <c r="F1" s="361"/>
    </row>
    <row r="2" spans="1:6" ht="15" customHeight="1" x14ac:dyDescent="0.25">
      <c r="A2" s="423" t="s">
        <v>682</v>
      </c>
      <c r="B2" s="361"/>
      <c r="C2" s="361"/>
      <c r="D2" s="361"/>
      <c r="E2" s="361"/>
      <c r="F2" s="361"/>
    </row>
    <row r="4" spans="1:6" ht="15" customHeight="1" x14ac:dyDescent="0.25">
      <c r="A4" s="432" t="s">
        <v>683</v>
      </c>
      <c r="B4" s="361"/>
      <c r="C4" s="361"/>
      <c r="D4" s="361"/>
      <c r="E4" s="361"/>
      <c r="F4" s="361"/>
    </row>
    <row r="6" spans="1:6" ht="15" customHeight="1" x14ac:dyDescent="0.25">
      <c r="A6" s="431" t="s">
        <v>684</v>
      </c>
      <c r="B6" s="361"/>
      <c r="C6" s="361"/>
      <c r="D6" s="361"/>
      <c r="E6" s="361"/>
      <c r="F6" s="361"/>
    </row>
    <row r="8" spans="1:6" ht="15" customHeight="1" x14ac:dyDescent="0.25">
      <c r="A8" s="100"/>
      <c r="B8" s="100" t="s">
        <v>685</v>
      </c>
      <c r="C8" s="100" t="s">
        <v>686</v>
      </c>
      <c r="D8" s="100" t="s">
        <v>687</v>
      </c>
      <c r="E8" s="100" t="s">
        <v>688</v>
      </c>
    </row>
    <row r="9" spans="1:6" ht="15" customHeight="1" x14ac:dyDescent="0.25">
      <c r="A9" s="115" t="s">
        <v>689</v>
      </c>
      <c r="B9" s="104"/>
      <c r="C9" s="104"/>
      <c r="D9" s="104"/>
      <c r="E9" s="104"/>
    </row>
    <row r="10" spans="1:6" ht="15" customHeight="1" x14ac:dyDescent="0.25">
      <c r="A10" s="115" t="s">
        <v>690</v>
      </c>
      <c r="B10" s="104"/>
      <c r="C10" s="104"/>
      <c r="D10" s="104"/>
      <c r="E10" s="104"/>
    </row>
    <row r="11" spans="1:6" ht="15" customHeight="1" x14ac:dyDescent="0.25">
      <c r="A11" s="115" t="s">
        <v>639</v>
      </c>
      <c r="B11" s="104"/>
      <c r="C11" s="104"/>
      <c r="D11" s="104"/>
      <c r="E11" s="104"/>
    </row>
    <row r="12" spans="1:6" ht="15" customHeight="1" x14ac:dyDescent="0.25">
      <c r="A12" s="115" t="s">
        <v>691</v>
      </c>
      <c r="B12" s="116"/>
      <c r="C12" s="116"/>
      <c r="D12" s="116"/>
      <c r="E12" s="116"/>
    </row>
    <row r="13" spans="1:6" ht="15" customHeight="1" x14ac:dyDescent="0.25">
      <c r="A13" s="115" t="s">
        <v>692</v>
      </c>
      <c r="B13" s="116"/>
      <c r="C13" s="116"/>
      <c r="D13" s="116"/>
      <c r="E13" s="116"/>
    </row>
    <row r="14" spans="1:6" ht="15" customHeight="1" x14ac:dyDescent="0.25">
      <c r="A14" s="115" t="s">
        <v>693</v>
      </c>
      <c r="B14" s="117">
        <f>B12+B13</f>
        <v>0</v>
      </c>
      <c r="C14" s="117">
        <f>C12+C13</f>
        <v>0</v>
      </c>
      <c r="D14" s="117">
        <f>D12+D13</f>
        <v>0</v>
      </c>
      <c r="E14" s="117">
        <f>E12+E13</f>
        <v>0</v>
      </c>
    </row>
    <row r="15" spans="1:6" ht="15" customHeight="1" x14ac:dyDescent="0.25">
      <c r="A15" s="115" t="s">
        <v>694</v>
      </c>
      <c r="B15" s="118"/>
      <c r="C15" s="118"/>
      <c r="D15" s="118"/>
      <c r="E15" s="118"/>
    </row>
    <row r="16" spans="1:6" ht="15" customHeight="1" x14ac:dyDescent="0.25">
      <c r="A16" s="115" t="s">
        <v>695</v>
      </c>
      <c r="B16" s="119"/>
      <c r="C16" s="119"/>
      <c r="D16" s="119"/>
      <c r="E16" s="119"/>
    </row>
    <row r="17" spans="1:6" ht="15" customHeight="1" x14ac:dyDescent="0.25">
      <c r="A17" s="115" t="s">
        <v>696</v>
      </c>
      <c r="B17" s="119"/>
      <c r="C17" s="119"/>
      <c r="D17" s="119"/>
      <c r="E17" s="119"/>
    </row>
    <row r="18" spans="1:6" ht="15" customHeight="1" x14ac:dyDescent="0.25">
      <c r="A18" s="115" t="s">
        <v>697</v>
      </c>
      <c r="B18" s="120" t="str">
        <f>IF(B17&gt;=100,"Review for P5","—")</f>
        <v>—</v>
      </c>
      <c r="C18" s="120" t="str">
        <f>IF(C17&gt;=100,"Review for P5","—")</f>
        <v>—</v>
      </c>
      <c r="D18" s="120" t="str">
        <f>IF(D17&gt;=100,"Review for P5","—")</f>
        <v>—</v>
      </c>
      <c r="E18" s="120" t="str">
        <f>IF(E17&gt;=100,"Review for P5","—")</f>
        <v>—</v>
      </c>
    </row>
    <row r="19" spans="1:6" ht="15" customHeight="1" x14ac:dyDescent="0.25">
      <c r="A19" s="115" t="s">
        <v>698</v>
      </c>
      <c r="B19" s="104"/>
      <c r="C19" s="104"/>
      <c r="D19" s="104"/>
      <c r="E19" s="104"/>
    </row>
    <row r="21" spans="1:6" ht="15" customHeight="1" x14ac:dyDescent="0.25">
      <c r="A21" s="431" t="s">
        <v>699</v>
      </c>
      <c r="B21" s="361"/>
      <c r="C21" s="361"/>
      <c r="D21" s="361"/>
      <c r="E21" s="361"/>
      <c r="F21" s="361"/>
    </row>
    <row r="23" spans="1:6" ht="15" customHeight="1" x14ac:dyDescent="0.25">
      <c r="A23" s="100"/>
      <c r="B23" s="100" t="s">
        <v>685</v>
      </c>
      <c r="C23" s="100" t="s">
        <v>686</v>
      </c>
      <c r="D23" s="100" t="s">
        <v>687</v>
      </c>
      <c r="E23" s="100" t="s">
        <v>688</v>
      </c>
      <c r="F23" s="100" t="s">
        <v>700</v>
      </c>
    </row>
    <row r="24" spans="1:6" ht="15" customHeight="1" x14ac:dyDescent="0.25">
      <c r="A24" s="115" t="s">
        <v>701</v>
      </c>
      <c r="B24" s="105"/>
      <c r="C24" s="105"/>
      <c r="D24" s="105"/>
      <c r="E24" s="105"/>
      <c r="F24" s="107">
        <f>SUM(B24:E24)</f>
        <v>0</v>
      </c>
    </row>
    <row r="25" spans="1:6" ht="15" customHeight="1" x14ac:dyDescent="0.25">
      <c r="A25" s="115" t="s">
        <v>702</v>
      </c>
      <c r="B25" s="105"/>
      <c r="C25" s="105"/>
      <c r="D25" s="105"/>
      <c r="E25" s="105"/>
      <c r="F25" s="107">
        <f>SUM(B25:E25)</f>
        <v>0</v>
      </c>
    </row>
    <row r="26" spans="1:6" ht="15" customHeight="1" x14ac:dyDescent="0.25">
      <c r="A26" s="108" t="s">
        <v>703</v>
      </c>
      <c r="B26" s="110">
        <f>SUM(B24:B25)</f>
        <v>0</v>
      </c>
      <c r="C26" s="110">
        <f>SUM(C24:C25)</f>
        <v>0</v>
      </c>
      <c r="D26" s="110">
        <f>SUM(D24:D25)</f>
        <v>0</v>
      </c>
      <c r="E26" s="110">
        <f>SUM(E24:E25)</f>
        <v>0</v>
      </c>
      <c r="F26" s="110">
        <f>SUM(F24:F25)</f>
        <v>0</v>
      </c>
    </row>
    <row r="27" spans="1:6" x14ac:dyDescent="0.25">
      <c r="B27" s="281"/>
      <c r="C27" s="281"/>
      <c r="D27" s="281"/>
      <c r="E27" s="281"/>
      <c r="F27" s="281"/>
    </row>
    <row r="28" spans="1:6" ht="15" customHeight="1" x14ac:dyDescent="0.25">
      <c r="A28" s="431" t="s">
        <v>704</v>
      </c>
      <c r="B28" s="361"/>
      <c r="C28" s="361"/>
      <c r="D28" s="361"/>
      <c r="E28" s="361"/>
      <c r="F28" s="361"/>
    </row>
    <row r="30" spans="1:6" ht="15" customHeight="1" x14ac:dyDescent="0.25">
      <c r="A30" s="100"/>
      <c r="B30" s="100" t="s">
        <v>685</v>
      </c>
      <c r="C30" s="100" t="s">
        <v>686</v>
      </c>
      <c r="D30" s="100" t="s">
        <v>687</v>
      </c>
      <c r="E30" s="100" t="s">
        <v>688</v>
      </c>
      <c r="F30" s="100" t="s">
        <v>700</v>
      </c>
    </row>
    <row r="31" spans="1:6" ht="15" customHeight="1" x14ac:dyDescent="0.25">
      <c r="A31" s="115" t="s">
        <v>705</v>
      </c>
      <c r="B31" s="105"/>
      <c r="C31" s="105"/>
      <c r="D31" s="105"/>
      <c r="E31" s="105"/>
      <c r="F31" s="107">
        <f t="shared" ref="F31:F45" si="0">SUM(B31:E31)</f>
        <v>0</v>
      </c>
    </row>
    <row r="32" spans="1:6" ht="15" customHeight="1" x14ac:dyDescent="0.25">
      <c r="A32" s="115" t="s">
        <v>706</v>
      </c>
      <c r="B32" s="105"/>
      <c r="C32" s="105"/>
      <c r="D32" s="105"/>
      <c r="E32" s="105"/>
      <c r="F32" s="107">
        <f t="shared" si="0"/>
        <v>0</v>
      </c>
    </row>
    <row r="33" spans="1:6" ht="15" customHeight="1" x14ac:dyDescent="0.25">
      <c r="A33" s="115" t="s">
        <v>707</v>
      </c>
      <c r="B33" s="105"/>
      <c r="C33" s="105"/>
      <c r="D33" s="105"/>
      <c r="E33" s="105"/>
      <c r="F33" s="107">
        <f t="shared" si="0"/>
        <v>0</v>
      </c>
    </row>
    <row r="34" spans="1:6" ht="15" customHeight="1" x14ac:dyDescent="0.25">
      <c r="A34" s="115" t="s">
        <v>708</v>
      </c>
      <c r="B34" s="105"/>
      <c r="C34" s="105"/>
      <c r="D34" s="105"/>
      <c r="E34" s="105"/>
      <c r="F34" s="107">
        <f t="shared" si="0"/>
        <v>0</v>
      </c>
    </row>
    <row r="35" spans="1:6" ht="15" customHeight="1" x14ac:dyDescent="0.25">
      <c r="A35" s="115" t="s">
        <v>709</v>
      </c>
      <c r="B35" s="105"/>
      <c r="C35" s="105"/>
      <c r="D35" s="105"/>
      <c r="E35" s="105"/>
      <c r="F35" s="107">
        <f t="shared" si="0"/>
        <v>0</v>
      </c>
    </row>
    <row r="36" spans="1:6" ht="15" customHeight="1" x14ac:dyDescent="0.25">
      <c r="A36" s="115" t="s">
        <v>710</v>
      </c>
      <c r="B36" s="105"/>
      <c r="C36" s="105"/>
      <c r="D36" s="105"/>
      <c r="E36" s="105"/>
      <c r="F36" s="107">
        <f t="shared" si="0"/>
        <v>0</v>
      </c>
    </row>
    <row r="37" spans="1:6" ht="15" customHeight="1" x14ac:dyDescent="0.25">
      <c r="A37" s="115" t="s">
        <v>711</v>
      </c>
      <c r="B37" s="105"/>
      <c r="C37" s="105"/>
      <c r="D37" s="105"/>
      <c r="E37" s="105"/>
      <c r="F37" s="107">
        <f t="shared" si="0"/>
        <v>0</v>
      </c>
    </row>
    <row r="38" spans="1:6" ht="15" customHeight="1" x14ac:dyDescent="0.25">
      <c r="A38" s="115" t="s">
        <v>712</v>
      </c>
      <c r="B38" s="105"/>
      <c r="C38" s="105"/>
      <c r="D38" s="105"/>
      <c r="E38" s="105"/>
      <c r="F38" s="107">
        <f t="shared" si="0"/>
        <v>0</v>
      </c>
    </row>
    <row r="39" spans="1:6" ht="15" customHeight="1" x14ac:dyDescent="0.25">
      <c r="A39" s="115" t="s">
        <v>713</v>
      </c>
      <c r="B39" s="105"/>
      <c r="C39" s="105"/>
      <c r="D39" s="105"/>
      <c r="E39" s="105"/>
      <c r="F39" s="107">
        <f t="shared" si="0"/>
        <v>0</v>
      </c>
    </row>
    <row r="40" spans="1:6" ht="15" customHeight="1" x14ac:dyDescent="0.25">
      <c r="A40" s="115" t="s">
        <v>714</v>
      </c>
      <c r="B40" s="105"/>
      <c r="C40" s="105"/>
      <c r="D40" s="105"/>
      <c r="E40" s="105"/>
      <c r="F40" s="107">
        <f t="shared" si="0"/>
        <v>0</v>
      </c>
    </row>
    <row r="41" spans="1:6" ht="15" customHeight="1" x14ac:dyDescent="0.25">
      <c r="A41" s="115" t="s">
        <v>715</v>
      </c>
      <c r="B41" s="105"/>
      <c r="C41" s="105"/>
      <c r="D41" s="105"/>
      <c r="E41" s="105"/>
      <c r="F41" s="107">
        <f t="shared" si="0"/>
        <v>0</v>
      </c>
    </row>
    <row r="42" spans="1:6" ht="15" customHeight="1" x14ac:dyDescent="0.25">
      <c r="A42" s="115" t="s">
        <v>716</v>
      </c>
      <c r="B42" s="105"/>
      <c r="C42" s="105"/>
      <c r="D42" s="105"/>
      <c r="E42" s="105"/>
      <c r="F42" s="107">
        <f t="shared" si="0"/>
        <v>0</v>
      </c>
    </row>
    <row r="43" spans="1:6" ht="15" customHeight="1" x14ac:dyDescent="0.25">
      <c r="A43" s="115" t="s">
        <v>717</v>
      </c>
      <c r="B43" s="105"/>
      <c r="C43" s="105"/>
      <c r="D43" s="105"/>
      <c r="E43" s="105"/>
      <c r="F43" s="107">
        <f t="shared" si="0"/>
        <v>0</v>
      </c>
    </row>
    <row r="44" spans="1:6" ht="15" customHeight="1" x14ac:dyDescent="0.25">
      <c r="A44" s="115" t="s">
        <v>718</v>
      </c>
      <c r="B44" s="105"/>
      <c r="C44" s="105"/>
      <c r="D44" s="105"/>
      <c r="E44" s="105"/>
      <c r="F44" s="107">
        <f t="shared" si="0"/>
        <v>0</v>
      </c>
    </row>
    <row r="45" spans="1:6" ht="15" customHeight="1" x14ac:dyDescent="0.25">
      <c r="A45" s="115" t="s">
        <v>719</v>
      </c>
      <c r="B45" s="105"/>
      <c r="C45" s="105"/>
      <c r="D45" s="105"/>
      <c r="E45" s="105"/>
      <c r="F45" s="107">
        <f t="shared" si="0"/>
        <v>0</v>
      </c>
    </row>
    <row r="46" spans="1:6" ht="15" customHeight="1" x14ac:dyDescent="0.25">
      <c r="A46" s="108" t="s">
        <v>428</v>
      </c>
      <c r="B46" s="110">
        <f>SUM(B31:B45)</f>
        <v>0</v>
      </c>
      <c r="C46" s="110">
        <f>SUM(C31:C45)</f>
        <v>0</v>
      </c>
      <c r="D46" s="110">
        <f>SUM(D31:D45)</f>
        <v>0</v>
      </c>
      <c r="E46" s="110">
        <f>SUM(E31:E45)</f>
        <v>0</v>
      </c>
      <c r="F46" s="110">
        <f>SUM(F31:F45)</f>
        <v>0</v>
      </c>
    </row>
    <row r="47" spans="1:6" x14ac:dyDescent="0.25">
      <c r="B47" s="281"/>
      <c r="C47" s="281"/>
      <c r="D47" s="281"/>
      <c r="E47" s="281"/>
      <c r="F47" s="281"/>
    </row>
    <row r="48" spans="1:6" ht="15" customHeight="1" x14ac:dyDescent="0.25">
      <c r="A48" s="431" t="s">
        <v>720</v>
      </c>
      <c r="B48" s="433"/>
      <c r="C48" s="433"/>
      <c r="D48" s="433"/>
      <c r="E48" s="433"/>
      <c r="F48" s="433"/>
    </row>
    <row r="50" spans="1:6" ht="15" customHeight="1" x14ac:dyDescent="0.25">
      <c r="A50" s="100"/>
      <c r="B50" s="100" t="s">
        <v>685</v>
      </c>
      <c r="C50" s="100" t="s">
        <v>686</v>
      </c>
      <c r="D50" s="100" t="s">
        <v>687</v>
      </c>
      <c r="E50" s="100" t="s">
        <v>688</v>
      </c>
      <c r="F50" s="100" t="s">
        <v>700</v>
      </c>
    </row>
    <row r="51" spans="1:6" ht="15" customHeight="1" x14ac:dyDescent="0.25">
      <c r="A51" s="121" t="s">
        <v>721</v>
      </c>
      <c r="B51" s="314">
        <f>B26-B46</f>
        <v>0</v>
      </c>
      <c r="C51" s="314">
        <f>C26-C46</f>
        <v>0</v>
      </c>
      <c r="D51" s="314">
        <f>D26-D46</f>
        <v>0</v>
      </c>
      <c r="E51" s="314">
        <f>E26-E46</f>
        <v>0</v>
      </c>
      <c r="F51" s="314">
        <f>F26-F46</f>
        <v>0</v>
      </c>
    </row>
    <row r="54" spans="1:6" ht="15" customHeight="1" x14ac:dyDescent="0.25">
      <c r="A54" s="422" t="s">
        <v>722</v>
      </c>
      <c r="B54" s="361"/>
      <c r="C54" s="361"/>
      <c r="D54" s="361"/>
      <c r="E54" s="361"/>
      <c r="F54" s="361"/>
    </row>
    <row r="55" spans="1:6" ht="15" customHeight="1" x14ac:dyDescent="0.25">
      <c r="A55" s="418" t="s">
        <v>723</v>
      </c>
      <c r="B55" s="361"/>
      <c r="C55" s="361"/>
      <c r="D55" s="361"/>
      <c r="E55" s="361"/>
      <c r="F55" s="361"/>
    </row>
    <row r="57" spans="1:6" ht="15" customHeight="1" x14ac:dyDescent="0.25">
      <c r="A57" s="100"/>
      <c r="B57" s="315" t="s">
        <v>685</v>
      </c>
      <c r="C57" s="315" t="s">
        <v>686</v>
      </c>
      <c r="D57" s="315" t="s">
        <v>687</v>
      </c>
      <c r="E57" s="315" t="s">
        <v>688</v>
      </c>
      <c r="F57" s="281"/>
    </row>
    <row r="58" spans="1:6" ht="15" customHeight="1" x14ac:dyDescent="0.25">
      <c r="A58" s="115" t="s">
        <v>724</v>
      </c>
      <c r="B58" s="116"/>
      <c r="C58" s="116"/>
      <c r="D58" s="116"/>
      <c r="E58" s="116"/>
      <c r="F58" s="281"/>
    </row>
    <row r="59" spans="1:6" ht="15" customHeight="1" x14ac:dyDescent="0.25">
      <c r="A59" s="115" t="s">
        <v>725</v>
      </c>
      <c r="B59" s="116"/>
      <c r="C59" s="116"/>
      <c r="D59" s="116"/>
      <c r="E59" s="116"/>
      <c r="F59" s="281"/>
    </row>
    <row r="60" spans="1:6" ht="15" customHeight="1" x14ac:dyDescent="0.25">
      <c r="A60" s="115" t="s">
        <v>726</v>
      </c>
      <c r="B60" s="116"/>
      <c r="C60" s="116"/>
      <c r="D60" s="116"/>
      <c r="E60" s="116"/>
      <c r="F60" s="281"/>
    </row>
    <row r="61" spans="1:6" ht="15" customHeight="1" x14ac:dyDescent="0.25">
      <c r="A61" s="115" t="s">
        <v>535</v>
      </c>
      <c r="B61" s="117">
        <f>IF(B59&gt;0,IF(UPPER(B60)="MACRS",B58*IF(B59=27.5,0.03636,IF(B59=39,0.02564,0)),B58/B59),0)</f>
        <v>0</v>
      </c>
      <c r="C61" s="117">
        <f>IF(C59&gt;0,IF(UPPER(C60)="MACRS",C58*IF(C59=27.5,0.03636,IF(C59=39,0.02564,0)),C58/C59),0)</f>
        <v>0</v>
      </c>
      <c r="D61" s="117">
        <f>IF(D59&gt;0,IF(UPPER(D60)="MACRS",D58*IF(D59=27.5,0.03636,IF(D59=39,0.02564,0)),D58/D59),0)</f>
        <v>0</v>
      </c>
      <c r="E61" s="117">
        <f>IF(E59&gt;0,IF(UPPER(E60)="MACRS",E58*IF(E59=27.5,0.03636,IF(E59=39,0.02564,0)),E58/E59),0)</f>
        <v>0</v>
      </c>
      <c r="F61" s="281"/>
    </row>
    <row r="62" spans="1:6" ht="15" customHeight="1" x14ac:dyDescent="0.25">
      <c r="A62" s="115" t="s">
        <v>727</v>
      </c>
      <c r="B62" s="117">
        <f>IF(B58&gt;0,B58*0.3+B58*0.7/IF(B59&gt;0,B59,27.5),0)</f>
        <v>0</v>
      </c>
      <c r="C62" s="117">
        <f>IF(C58&gt;0,C58*0.3+C58*0.7/IF(C59&gt;0,C59,27.5),0)</f>
        <v>0</v>
      </c>
      <c r="D62" s="117">
        <f>IF(D58&gt;0,D58*0.3+D58*0.7/IF(D59&gt;0,D59,27.5),0)</f>
        <v>0</v>
      </c>
      <c r="E62" s="117">
        <f>IF(E58&gt;0,E58*0.3+E58*0.7/IF(E59&gt;0,E59,27.5),0)</f>
        <v>0</v>
      </c>
    </row>
    <row r="63" spans="1:6" ht="15" customHeight="1" x14ac:dyDescent="0.25">
      <c r="A63" s="115" t="s">
        <v>728</v>
      </c>
      <c r="B63" s="122">
        <f>MAX(B62-B61,0)</f>
        <v>0</v>
      </c>
      <c r="C63" s="122">
        <f>MAX(C62-C61,0)</f>
        <v>0</v>
      </c>
      <c r="D63" s="122">
        <f>MAX(D62-D61,0)</f>
        <v>0</v>
      </c>
      <c r="E63" s="122">
        <f>MAX(E62-E61,0)</f>
        <v>0</v>
      </c>
    </row>
    <row r="66" spans="1:6" ht="15" customHeight="1" x14ac:dyDescent="0.25">
      <c r="A66" s="431" t="s">
        <v>729</v>
      </c>
      <c r="B66" s="361"/>
      <c r="C66" s="361"/>
      <c r="D66" s="361"/>
      <c r="E66" s="361"/>
      <c r="F66" s="361"/>
    </row>
    <row r="67" spans="1:6" ht="15" customHeight="1" x14ac:dyDescent="0.25">
      <c r="A67" s="418" t="s">
        <v>730</v>
      </c>
      <c r="B67" s="361"/>
      <c r="C67" s="361"/>
      <c r="D67" s="361"/>
      <c r="E67" s="361"/>
      <c r="F67" s="361"/>
    </row>
    <row r="69" spans="1:6" ht="15" customHeight="1" x14ac:dyDescent="0.25">
      <c r="A69" s="123" t="s">
        <v>731</v>
      </c>
      <c r="B69" s="98" t="s">
        <v>732</v>
      </c>
      <c r="D69" s="124">
        <f>SUM(B17:E17)</f>
        <v>0</v>
      </c>
    </row>
    <row r="70" spans="1:6" ht="15" customHeight="1" x14ac:dyDescent="0.25">
      <c r="B70" s="418" t="s">
        <v>733</v>
      </c>
      <c r="C70" s="361"/>
      <c r="D70" s="361"/>
      <c r="E70" s="361"/>
      <c r="F70" s="361"/>
    </row>
    <row r="71" spans="1:6" ht="15" customHeight="1" x14ac:dyDescent="0.25">
      <c r="A71" s="123" t="s">
        <v>734</v>
      </c>
      <c r="B71" s="98" t="s">
        <v>735</v>
      </c>
      <c r="D71" s="124">
        <f>SUM(B63:E63)</f>
        <v>0</v>
      </c>
    </row>
    <row r="72" spans="1:6" ht="15" customHeight="1" x14ac:dyDescent="0.25">
      <c r="B72" s="418" t="s">
        <v>736</v>
      </c>
      <c r="C72" s="361"/>
      <c r="D72" s="361"/>
      <c r="E72" s="361"/>
      <c r="F72" s="361"/>
    </row>
    <row r="73" spans="1:6" ht="15" customHeight="1" x14ac:dyDescent="0.25">
      <c r="A73" s="123" t="s">
        <v>737</v>
      </c>
      <c r="B73" s="98" t="s">
        <v>738</v>
      </c>
    </row>
    <row r="74" spans="1:6" ht="15" customHeight="1" x14ac:dyDescent="0.25">
      <c r="B74" s="418" t="s">
        <v>739</v>
      </c>
      <c r="C74" s="361"/>
      <c r="D74" s="361"/>
      <c r="E74" s="361"/>
      <c r="F74" s="361"/>
    </row>
    <row r="75" spans="1:6" ht="15" customHeight="1" x14ac:dyDescent="0.25">
      <c r="A75" s="123" t="s">
        <v>740</v>
      </c>
    </row>
    <row r="76" spans="1:6" ht="15" customHeight="1" x14ac:dyDescent="0.25">
      <c r="B76" s="418" t="s">
        <v>741</v>
      </c>
      <c r="C76" s="361"/>
      <c r="D76" s="361"/>
      <c r="E76" s="361"/>
      <c r="F76" s="361"/>
    </row>
    <row r="77" spans="1:6" ht="15" customHeight="1" x14ac:dyDescent="0.25">
      <c r="A77" s="123" t="s">
        <v>742</v>
      </c>
    </row>
    <row r="78" spans="1:6" ht="15" customHeight="1" x14ac:dyDescent="0.25">
      <c r="B78" s="418" t="s">
        <v>743</v>
      </c>
      <c r="C78" s="361"/>
      <c r="D78" s="361"/>
      <c r="E78" s="361"/>
      <c r="F78" s="361"/>
    </row>
    <row r="79" spans="1:6" ht="15" customHeight="1" x14ac:dyDescent="0.25">
      <c r="A79" s="123" t="s">
        <v>744</v>
      </c>
    </row>
    <row r="80" spans="1:6" ht="15" customHeight="1" x14ac:dyDescent="0.25">
      <c r="B80" s="418" t="s">
        <v>745</v>
      </c>
      <c r="C80" s="361"/>
      <c r="D80" s="361"/>
      <c r="E80" s="361"/>
      <c r="F80" s="361"/>
    </row>
    <row r="81" spans="1:6" ht="15" customHeight="1" x14ac:dyDescent="0.25">
      <c r="A81" s="123" t="s">
        <v>746</v>
      </c>
    </row>
    <row r="82" spans="1:6" ht="15" customHeight="1" x14ac:dyDescent="0.25">
      <c r="B82" s="418" t="s">
        <v>747</v>
      </c>
      <c r="C82" s="361"/>
      <c r="D82" s="361"/>
      <c r="E82" s="361"/>
      <c r="F82" s="361"/>
    </row>
    <row r="84" spans="1:6" ht="15" customHeight="1" x14ac:dyDescent="0.25">
      <c r="A84" s="431" t="s">
        <v>748</v>
      </c>
      <c r="B84" s="361"/>
      <c r="C84" s="361"/>
      <c r="D84" s="361"/>
      <c r="E84" s="361"/>
      <c r="F84" s="361"/>
    </row>
    <row r="85" spans="1:6" ht="15" customHeight="1" x14ac:dyDescent="0.25">
      <c r="A85" s="418" t="s">
        <v>749</v>
      </c>
      <c r="B85" s="361"/>
      <c r="C85" s="361"/>
      <c r="D85" s="361"/>
      <c r="E85" s="361"/>
      <c r="F85" s="361"/>
    </row>
    <row r="88" spans="1:6" ht="15" customHeight="1" x14ac:dyDescent="0.25">
      <c r="A88" s="114" t="s">
        <v>750</v>
      </c>
    </row>
    <row r="89" spans="1:6" ht="15" customHeight="1" x14ac:dyDescent="0.25">
      <c r="A89" s="114" t="s">
        <v>79</v>
      </c>
    </row>
    <row r="91" spans="1:6" ht="15" customHeight="1" x14ac:dyDescent="0.25">
      <c r="A91" s="114" t="s">
        <v>1313</v>
      </c>
    </row>
    <row r="92" spans="1:6" ht="15" customHeight="1" x14ac:dyDescent="0.25">
      <c r="A92" s="114" t="s">
        <v>81</v>
      </c>
    </row>
  </sheetData>
  <mergeCells count="20">
    <mergeCell ref="A85:F85"/>
    <mergeCell ref="A4:F4"/>
    <mergeCell ref="B82:F82"/>
    <mergeCell ref="A28:F28"/>
    <mergeCell ref="B78:F78"/>
    <mergeCell ref="A67:F67"/>
    <mergeCell ref="A48:F48"/>
    <mergeCell ref="B74:F74"/>
    <mergeCell ref="A54:F54"/>
    <mergeCell ref="A84:F84"/>
    <mergeCell ref="A66:F66"/>
    <mergeCell ref="B72:F72"/>
    <mergeCell ref="A21:F21"/>
    <mergeCell ref="A55:F55"/>
    <mergeCell ref="B70:F70"/>
    <mergeCell ref="A1:F1"/>
    <mergeCell ref="B80:F80"/>
    <mergeCell ref="B76:F76"/>
    <mergeCell ref="A6:F6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Navigation</vt:lpstr>
      <vt:lpstr>Client Info</vt:lpstr>
      <vt:lpstr>Instructions</vt:lpstr>
      <vt:lpstr>Document Checklist</vt:lpstr>
      <vt:lpstr>Expense Report</vt:lpstr>
      <vt:lpstr>Home Office</vt:lpstr>
      <vt:lpstr>Vehicle Mileage</vt:lpstr>
      <vt:lpstr>Equipment</vt:lpstr>
      <vt:lpstr>Schedule E</vt:lpstr>
      <vt:lpstr>Crypto Tracker</vt:lpstr>
      <vt:lpstr>Timing &amp; Loss Harvest</vt:lpstr>
      <vt:lpstr>Health &amp; HSA</vt:lpstr>
      <vt:lpstr>14-Day Rental</vt:lpstr>
      <vt:lpstr>Family Employment</vt:lpstr>
      <vt:lpstr>Family Co &amp; Advisors</vt:lpstr>
      <vt:lpstr>Retirement Contributions</vt:lpstr>
      <vt:lpstr>Estimated Taxes</vt:lpstr>
      <vt:lpstr>Annual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 Eiduk</cp:lastModifiedBy>
  <cp:revision>2</cp:revision>
  <dcterms:created xsi:type="dcterms:W3CDTF">2025-11-30T16:06:03Z</dcterms:created>
  <dcterms:modified xsi:type="dcterms:W3CDTF">2026-02-18T18:13:53Z</dcterms:modified>
  <dc:language>en-US</dc:language>
</cp:coreProperties>
</file>